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emaxwell/Documents/Zero Waste BC/cement&amp; incin -MV/FOI to MV/response drafts/"/>
    </mc:Choice>
  </mc:AlternateContent>
  <xr:revisionPtr revIDLastSave="0" documentId="13_ncr:1_{812BABFA-83B8-944A-85FA-86AACA0D6924}" xr6:coauthVersionLast="47" xr6:coauthVersionMax="47" xr10:uidLastSave="{00000000-0000-0000-0000-000000000000}"/>
  <bookViews>
    <workbookView xWindow="780" yWindow="-20100" windowWidth="36720" windowHeight="18440" xr2:uid="{EA7B3F9B-8F22-6348-A309-94299C4220A8}"/>
  </bookViews>
  <sheets>
    <sheet name="Corrected 2024 scenarios" sheetId="4" r:id="rId1"/>
    <sheet name="MV provided # in FOI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0" i="1" l="1"/>
  <c r="A149" i="1"/>
  <c r="H67" i="1"/>
  <c r="H66" i="1"/>
  <c r="K134" i="4"/>
  <c r="H134" i="4"/>
  <c r="E4" i="4"/>
  <c r="H4" i="4"/>
  <c r="K4" i="4"/>
  <c r="K19" i="4" s="1"/>
  <c r="N4" i="4"/>
  <c r="D6" i="4"/>
  <c r="D9" i="4" s="1"/>
  <c r="D13" i="4" s="1"/>
  <c r="D19" i="4" s="1"/>
  <c r="G6" i="4"/>
  <c r="G9" i="4" s="1"/>
  <c r="G13" i="4" s="1"/>
  <c r="G19" i="4" s="1"/>
  <c r="J6" i="4"/>
  <c r="M6" i="4"/>
  <c r="D8" i="4"/>
  <c r="G8" i="4"/>
  <c r="J8" i="4"/>
  <c r="M8" i="4"/>
  <c r="J9" i="4"/>
  <c r="M9" i="4"/>
  <c r="M13" i="4" s="1"/>
  <c r="D12" i="4"/>
  <c r="G12" i="4"/>
  <c r="J12" i="4"/>
  <c r="M12" i="4"/>
  <c r="D16" i="4"/>
  <c r="D28" i="4" s="1"/>
  <c r="G16" i="4"/>
  <c r="G28" i="4" s="1"/>
  <c r="J16" i="4"/>
  <c r="J28" i="4" s="1"/>
  <c r="M16" i="4"/>
  <c r="M28" i="4" s="1"/>
  <c r="D18" i="4"/>
  <c r="G18" i="4"/>
  <c r="J18" i="4"/>
  <c r="M18" i="4"/>
  <c r="E19" i="4"/>
  <c r="H19" i="4"/>
  <c r="N19" i="4"/>
  <c r="D24" i="4"/>
  <c r="G24" i="4"/>
  <c r="J24" i="4"/>
  <c r="M24" i="4"/>
  <c r="D25" i="4"/>
  <c r="G25" i="4"/>
  <c r="G27" i="4" s="1"/>
  <c r="J25" i="4"/>
  <c r="M25" i="4"/>
  <c r="M27" i="4" s="1"/>
  <c r="D27" i="4"/>
  <c r="D30" i="4"/>
  <c r="G30" i="4"/>
  <c r="J30" i="4"/>
  <c r="M30" i="4"/>
  <c r="D35" i="4"/>
  <c r="G35" i="4"/>
  <c r="J35" i="4"/>
  <c r="M35" i="4"/>
  <c r="D36" i="4"/>
  <c r="D37" i="4" s="1"/>
  <c r="D91" i="4" s="1"/>
  <c r="G36" i="4"/>
  <c r="G37" i="4" s="1"/>
  <c r="G91" i="4" s="1"/>
  <c r="J36" i="4"/>
  <c r="M36" i="4"/>
  <c r="M37" i="4" s="1"/>
  <c r="M91" i="4" s="1"/>
  <c r="J37" i="4"/>
  <c r="J91" i="4" s="1"/>
  <c r="I92" i="4" s="1"/>
  <c r="D43" i="4"/>
  <c r="D52" i="4" s="1"/>
  <c r="E52" i="4" s="1"/>
  <c r="G43" i="4"/>
  <c r="G52" i="4" s="1"/>
  <c r="H52" i="4" s="1"/>
  <c r="J43" i="4"/>
  <c r="J52" i="4" s="1"/>
  <c r="K52" i="4" s="1"/>
  <c r="M43" i="4"/>
  <c r="M52" i="4" s="1"/>
  <c r="N52" i="4" s="1"/>
  <c r="E50" i="4"/>
  <c r="H50" i="4"/>
  <c r="K50" i="4"/>
  <c r="N50" i="4"/>
  <c r="E51" i="4"/>
  <c r="H51" i="4"/>
  <c r="K51" i="4"/>
  <c r="N51" i="4"/>
  <c r="E54" i="4"/>
  <c r="H54" i="4"/>
  <c r="K54" i="4"/>
  <c r="N54" i="4"/>
  <c r="D55" i="4"/>
  <c r="E55" i="4" s="1"/>
  <c r="G55" i="4"/>
  <c r="H55" i="4" s="1"/>
  <c r="J55" i="4"/>
  <c r="K55" i="4"/>
  <c r="M55" i="4"/>
  <c r="N55" i="4"/>
  <c r="E63" i="4"/>
  <c r="C63" i="4" s="1"/>
  <c r="H63" i="4"/>
  <c r="F63" i="4" s="1"/>
  <c r="K63" i="4"/>
  <c r="I63" i="4" s="1"/>
  <c r="N63" i="4"/>
  <c r="L63" i="4" s="1"/>
  <c r="E71" i="4"/>
  <c r="H71" i="4"/>
  <c r="K71" i="4"/>
  <c r="N71" i="4"/>
  <c r="L71" i="4" s="1"/>
  <c r="E74" i="4"/>
  <c r="C74" i="4" s="1"/>
  <c r="H74" i="4"/>
  <c r="K74" i="4"/>
  <c r="N74" i="4"/>
  <c r="L75" i="4"/>
  <c r="D76" i="4"/>
  <c r="C75" i="4" s="1"/>
  <c r="G76" i="4"/>
  <c r="F75" i="4" s="1"/>
  <c r="H76" i="4"/>
  <c r="J76" i="4"/>
  <c r="I75" i="4" s="1"/>
  <c r="M76" i="4"/>
  <c r="D82" i="4"/>
  <c r="E82" i="4"/>
  <c r="G82" i="4"/>
  <c r="H82" i="4"/>
  <c r="F82" i="4" s="1"/>
  <c r="J82" i="4"/>
  <c r="K82" i="4"/>
  <c r="I82" i="4" s="1"/>
  <c r="M82" i="4"/>
  <c r="N82" i="4"/>
  <c r="L82" i="4" s="1"/>
  <c r="E90" i="4"/>
  <c r="H90" i="4"/>
  <c r="H91" i="4" s="1"/>
  <c r="K90" i="4"/>
  <c r="K91" i="4" s="1"/>
  <c r="I91" i="4" s="1"/>
  <c r="N90" i="4"/>
  <c r="E91" i="4"/>
  <c r="N91" i="4"/>
  <c r="E99" i="4"/>
  <c r="H99" i="4"/>
  <c r="K99" i="4"/>
  <c r="N99" i="4"/>
  <c r="L99" i="4" s="1"/>
  <c r="E133" i="4"/>
  <c r="H133" i="4" s="1"/>
  <c r="D115" i="1"/>
  <c r="B115" i="1"/>
  <c r="B135" i="1"/>
  <c r="B114" i="1"/>
  <c r="B114" i="4" s="1"/>
  <c r="B107" i="4"/>
  <c r="M29" i="4" l="1"/>
  <c r="M31" i="4" s="1"/>
  <c r="G29" i="4"/>
  <c r="G31" i="4" s="1"/>
  <c r="I74" i="4"/>
  <c r="I99" i="4"/>
  <c r="I100" i="4" s="1"/>
  <c r="F74" i="4"/>
  <c r="D29" i="4"/>
  <c r="D31" i="4" s="1"/>
  <c r="D44" i="4" s="1"/>
  <c r="D45" i="4" s="1"/>
  <c r="M19" i="4"/>
  <c r="L76" i="4"/>
  <c r="I71" i="4"/>
  <c r="J27" i="4"/>
  <c r="J29" i="4" s="1"/>
  <c r="J31" i="4" s="1"/>
  <c r="J44" i="4" s="1"/>
  <c r="F71" i="4"/>
  <c r="C82" i="4"/>
  <c r="E76" i="4"/>
  <c r="L74" i="4"/>
  <c r="J13" i="4"/>
  <c r="J19" i="4" s="1"/>
  <c r="J45" i="4" s="1"/>
  <c r="L19" i="4"/>
  <c r="C92" i="4"/>
  <c r="C91" i="4"/>
  <c r="F99" i="4"/>
  <c r="C99" i="4"/>
  <c r="C100" i="4" s="1"/>
  <c r="C19" i="4"/>
  <c r="L92" i="4"/>
  <c r="L91" i="4"/>
  <c r="M44" i="4"/>
  <c r="F92" i="4"/>
  <c r="F91" i="4"/>
  <c r="G44" i="4"/>
  <c r="G45" i="4" s="1"/>
  <c r="F19" i="4"/>
  <c r="I76" i="4"/>
  <c r="F76" i="4"/>
  <c r="I19" i="4"/>
  <c r="C71" i="4"/>
  <c r="C76" i="4" s="1"/>
  <c r="N76" i="4"/>
  <c r="K76" i="4"/>
  <c r="L100" i="4" l="1"/>
  <c r="F100" i="4"/>
  <c r="M45" i="4"/>
  <c r="E132" i="1" l="1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3" i="4"/>
  <c r="B112" i="4"/>
  <c r="B111" i="4"/>
  <c r="B110" i="4"/>
  <c r="B109" i="4"/>
  <c r="B108" i="4"/>
  <c r="N123" i="4"/>
  <c r="L140" i="4"/>
  <c r="L139" i="4"/>
  <c r="N133" i="4"/>
  <c r="N125" i="4"/>
  <c r="L119" i="4"/>
  <c r="M118" i="4"/>
  <c r="L118" i="4"/>
  <c r="L138" i="4" s="1"/>
  <c r="N114" i="4"/>
  <c r="L113" i="4"/>
  <c r="L111" i="4"/>
  <c r="L108" i="4"/>
  <c r="M107" i="4"/>
  <c r="M108" i="4" s="1"/>
  <c r="L110" i="4"/>
  <c r="M138" i="4"/>
  <c r="K133" i="4"/>
  <c r="I140" i="4"/>
  <c r="I139" i="4"/>
  <c r="K125" i="4"/>
  <c r="K122" i="4"/>
  <c r="K121" i="4"/>
  <c r="I119" i="4"/>
  <c r="J118" i="4"/>
  <c r="I118" i="4"/>
  <c r="I138" i="4" s="1"/>
  <c r="K114" i="4"/>
  <c r="I113" i="4"/>
  <c r="I111" i="4"/>
  <c r="I108" i="4"/>
  <c r="J107" i="4"/>
  <c r="J108" i="4" s="1"/>
  <c r="I110" i="4"/>
  <c r="J138" i="4"/>
  <c r="F140" i="4"/>
  <c r="F139" i="4"/>
  <c r="H125" i="4"/>
  <c r="H122" i="4"/>
  <c r="H121" i="4"/>
  <c r="F119" i="4"/>
  <c r="G118" i="4"/>
  <c r="F118" i="4"/>
  <c r="F138" i="4" s="1"/>
  <c r="H114" i="4"/>
  <c r="F113" i="4"/>
  <c r="F111" i="4"/>
  <c r="F108" i="4"/>
  <c r="G107" i="4"/>
  <c r="G108" i="4" s="1"/>
  <c r="F110" i="4"/>
  <c r="G139" i="4"/>
  <c r="C140" i="4"/>
  <c r="C139" i="4"/>
  <c r="E125" i="4"/>
  <c r="E124" i="4"/>
  <c r="H124" i="4" s="1"/>
  <c r="K124" i="4" s="1"/>
  <c r="N124" i="4" s="1"/>
  <c r="E122" i="4"/>
  <c r="E121" i="4"/>
  <c r="C119" i="4"/>
  <c r="D118" i="4"/>
  <c r="C118" i="4"/>
  <c r="E114" i="4"/>
  <c r="C113" i="4"/>
  <c r="C111" i="4"/>
  <c r="C108" i="4"/>
  <c r="D107" i="4"/>
  <c r="D108" i="4" s="1"/>
  <c r="E126" i="4"/>
  <c r="C110" i="4"/>
  <c r="D139" i="4"/>
  <c r="K139" i="1"/>
  <c r="J139" i="1"/>
  <c r="J140" i="1" s="1"/>
  <c r="J134" i="1"/>
  <c r="J133" i="1" s="1"/>
  <c r="I133" i="1" s="1"/>
  <c r="K131" i="1"/>
  <c r="K130" i="1"/>
  <c r="K129" i="1"/>
  <c r="K126" i="1"/>
  <c r="K125" i="1"/>
  <c r="K124" i="1"/>
  <c r="K122" i="1"/>
  <c r="K121" i="1"/>
  <c r="K123" i="1" s="1"/>
  <c r="K119" i="1"/>
  <c r="I118" i="1"/>
  <c r="K118" i="1" s="1"/>
  <c r="K114" i="1"/>
  <c r="I111" i="1"/>
  <c r="J108" i="1"/>
  <c r="K108" i="1" s="1"/>
  <c r="K107" i="1"/>
  <c r="F114" i="1"/>
  <c r="F111" i="1" s="1"/>
  <c r="H131" i="1"/>
  <c r="H130" i="1"/>
  <c r="H129" i="1"/>
  <c r="H126" i="1"/>
  <c r="H125" i="1"/>
  <c r="H124" i="1"/>
  <c r="H122" i="1"/>
  <c r="H121" i="1"/>
  <c r="G108" i="1"/>
  <c r="B140" i="1"/>
  <c r="B139" i="1"/>
  <c r="D133" i="1"/>
  <c r="D131" i="1"/>
  <c r="D130" i="1"/>
  <c r="D129" i="1"/>
  <c r="D125" i="1"/>
  <c r="D124" i="1"/>
  <c r="D122" i="1"/>
  <c r="D121" i="1"/>
  <c r="D123" i="1" s="1"/>
  <c r="B119" i="1"/>
  <c r="C118" i="1"/>
  <c r="D119" i="1" s="1"/>
  <c r="D114" i="1"/>
  <c r="B113" i="1"/>
  <c r="B111" i="1"/>
  <c r="B108" i="1"/>
  <c r="C107" i="1"/>
  <c r="C108" i="1" s="1"/>
  <c r="D99" i="1"/>
  <c r="D90" i="1"/>
  <c r="D91" i="1" s="1"/>
  <c r="C82" i="1"/>
  <c r="C76" i="1"/>
  <c r="B75" i="1" s="1"/>
  <c r="D82" i="1"/>
  <c r="D74" i="1"/>
  <c r="D71" i="1"/>
  <c r="N127" i="4" l="1"/>
  <c r="N128" i="4" s="1"/>
  <c r="N134" i="4" s="1"/>
  <c r="K139" i="4"/>
  <c r="N139" i="4"/>
  <c r="N108" i="4"/>
  <c r="K119" i="4"/>
  <c r="D110" i="4"/>
  <c r="C112" i="4" s="1"/>
  <c r="C114" i="4" s="1"/>
  <c r="D138" i="4"/>
  <c r="H127" i="4"/>
  <c r="K108" i="4"/>
  <c r="K123" i="4"/>
  <c r="G138" i="4"/>
  <c r="H138" i="4" s="1"/>
  <c r="K127" i="4"/>
  <c r="K128" i="4" s="1"/>
  <c r="I134" i="4" s="1"/>
  <c r="E123" i="4"/>
  <c r="N118" i="4"/>
  <c r="M121" i="4"/>
  <c r="M134" i="4" s="1"/>
  <c r="L134" i="4" s="1"/>
  <c r="N138" i="4"/>
  <c r="L142" i="4"/>
  <c r="M139" i="4"/>
  <c r="N107" i="4"/>
  <c r="N119" i="4"/>
  <c r="J121" i="4"/>
  <c r="J134" i="4" s="1"/>
  <c r="J110" i="4"/>
  <c r="I112" i="4" s="1"/>
  <c r="I114" i="4" s="1"/>
  <c r="K138" i="4"/>
  <c r="I142" i="4"/>
  <c r="J139" i="4"/>
  <c r="K118" i="4"/>
  <c r="K107" i="4"/>
  <c r="C138" i="4"/>
  <c r="E107" i="4"/>
  <c r="E108" i="4"/>
  <c r="H123" i="4"/>
  <c r="E127" i="4"/>
  <c r="E128" i="4" s="1"/>
  <c r="E134" i="4" s="1"/>
  <c r="E119" i="4"/>
  <c r="H118" i="4"/>
  <c r="H108" i="4"/>
  <c r="G121" i="4"/>
  <c r="G134" i="4" s="1"/>
  <c r="F142" i="4"/>
  <c r="H119" i="4"/>
  <c r="H107" i="4"/>
  <c r="D121" i="4"/>
  <c r="D134" i="4" s="1"/>
  <c r="E118" i="4"/>
  <c r="K132" i="1"/>
  <c r="H123" i="1"/>
  <c r="K127" i="1"/>
  <c r="K128" i="1"/>
  <c r="D132" i="1"/>
  <c r="I134" i="1"/>
  <c r="K140" i="1"/>
  <c r="K135" i="1"/>
  <c r="I135" i="1" s="1"/>
  <c r="K141" i="1"/>
  <c r="J141" i="1"/>
  <c r="K115" i="1"/>
  <c r="I115" i="1" s="1"/>
  <c r="I138" i="1"/>
  <c r="H114" i="1"/>
  <c r="H127" i="1"/>
  <c r="H128" i="1" s="1"/>
  <c r="H119" i="1"/>
  <c r="H132" i="1"/>
  <c r="H108" i="1"/>
  <c r="G134" i="1"/>
  <c r="D126" i="1"/>
  <c r="D127" i="1" s="1"/>
  <c r="D128" i="1" s="1"/>
  <c r="D108" i="1"/>
  <c r="B82" i="1"/>
  <c r="D76" i="1"/>
  <c r="B74" i="1"/>
  <c r="B71" i="1"/>
  <c r="B76" i="1" s="1"/>
  <c r="B107" i="1" s="1"/>
  <c r="H115" i="4" l="1"/>
  <c r="N115" i="4"/>
  <c r="K115" i="4"/>
  <c r="E135" i="4"/>
  <c r="C135" i="4" s="1"/>
  <c r="N135" i="4"/>
  <c r="M110" i="4"/>
  <c r="L112" i="4" s="1"/>
  <c r="L114" i="4" s="1"/>
  <c r="L135" i="4"/>
  <c r="H128" i="4"/>
  <c r="F134" i="4" s="1"/>
  <c r="E138" i="4"/>
  <c r="H139" i="4"/>
  <c r="G110" i="4"/>
  <c r="F112" i="4" s="1"/>
  <c r="F114" i="4" s="1"/>
  <c r="K135" i="4"/>
  <c r="I135" i="4" s="1"/>
  <c r="N140" i="4"/>
  <c r="N142" i="4" s="1"/>
  <c r="M140" i="4"/>
  <c r="K140" i="4"/>
  <c r="J140" i="4"/>
  <c r="K142" i="4"/>
  <c r="I115" i="4"/>
  <c r="E115" i="4"/>
  <c r="C115" i="4" s="1"/>
  <c r="C142" i="4"/>
  <c r="H140" i="4"/>
  <c r="G140" i="4"/>
  <c r="E139" i="4"/>
  <c r="C134" i="4"/>
  <c r="D134" i="1"/>
  <c r="K138" i="1"/>
  <c r="K142" i="1" s="1"/>
  <c r="I142" i="1"/>
  <c r="F134" i="1"/>
  <c r="G133" i="1"/>
  <c r="F133" i="1" s="1"/>
  <c r="G139" i="1"/>
  <c r="H139" i="1"/>
  <c r="D107" i="1"/>
  <c r="B118" i="1"/>
  <c r="H135" i="4" l="1"/>
  <c r="F135" i="4" s="1"/>
  <c r="F115" i="4"/>
  <c r="L115" i="4"/>
  <c r="H142" i="4"/>
  <c r="E140" i="4"/>
  <c r="E142" i="4" s="1"/>
  <c r="D140" i="4"/>
  <c r="D118" i="1"/>
  <c r="D135" i="1" s="1"/>
  <c r="B138" i="1"/>
  <c r="H140" i="1"/>
  <c r="G140" i="1"/>
  <c r="F118" i="1"/>
  <c r="H107" i="1"/>
  <c r="H115" i="1" s="1"/>
  <c r="F115" i="1" s="1"/>
  <c r="G141" i="1" l="1"/>
  <c r="H141" i="1"/>
  <c r="B142" i="1"/>
  <c r="H118" i="1"/>
  <c r="F138" i="1"/>
  <c r="F142" i="1" s="1"/>
  <c r="H135" i="1" l="1"/>
  <c r="F135" i="1" s="1"/>
  <c r="H138" i="1"/>
  <c r="H142" i="1" s="1"/>
  <c r="D63" i="1" l="1"/>
  <c r="B63" i="1" s="1"/>
  <c r="B110" i="1" s="1"/>
  <c r="C55" i="1"/>
  <c r="D55" i="1" s="1"/>
  <c r="D54" i="1"/>
  <c r="D51" i="1"/>
  <c r="D50" i="1"/>
  <c r="C18" i="1"/>
  <c r="C43" i="1"/>
  <c r="C52" i="1" s="1"/>
  <c r="C35" i="1"/>
  <c r="C36" i="1"/>
  <c r="C37" i="1" s="1"/>
  <c r="C91" i="1" s="1"/>
  <c r="C30" i="1"/>
  <c r="C24" i="1"/>
  <c r="C25" i="1"/>
  <c r="C16" i="1"/>
  <c r="C28" i="1" s="1"/>
  <c r="C12" i="1"/>
  <c r="C8" i="1"/>
  <c r="C6" i="1"/>
  <c r="C9" i="1" s="1"/>
  <c r="D4" i="1"/>
  <c r="D19" i="1" s="1"/>
  <c r="D52" i="1" l="1"/>
  <c r="C138" i="1"/>
  <c r="B99" i="1"/>
  <c r="C121" i="1"/>
  <c r="C134" i="1" s="1"/>
  <c r="C27" i="1"/>
  <c r="B91" i="1"/>
  <c r="B92" i="1"/>
  <c r="C13" i="1"/>
  <c r="C19" i="1" s="1"/>
  <c r="B19" i="1" s="1"/>
  <c r="B100" i="1" l="1"/>
  <c r="B134" i="1"/>
  <c r="D139" i="1"/>
  <c r="C139" i="1"/>
  <c r="D138" i="1"/>
  <c r="C29" i="1"/>
  <c r="C31" i="1" s="1"/>
  <c r="C44" i="1" s="1"/>
  <c r="C45" i="1" s="1"/>
  <c r="C110" i="1"/>
  <c r="C140" i="1" l="1"/>
  <c r="D140" i="1"/>
  <c r="D142" i="1" s="1"/>
  <c r="B1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tc={0A74150F-5278-244B-B0E9-B185AD217541}</author>
    <author>tc={D46A020A-C7D1-A04B-8A3E-280DBD537B03}</author>
    <author>tc={86DA9847-9F48-AD46-BDC2-94A05842A9DB}</author>
    <author>tc={89107F4C-8AF1-FA45-9BB5-CF2B9B6BA249}</author>
    <author>tc={5FE2B4AF-662D-5B4E-8E98-90AB905C4522}</author>
    <author>tc={B13ACDBD-BD4D-D64A-860F-068EC3991832}</author>
    <author>tc={BD8F7DDB-4F29-C443-B2C4-19BE216E381C}</author>
    <author>tc={089649D4-E501-2B43-AB66-4D1EDF7D0975}</author>
    <author>tc={8E8A0286-D50C-8441-B3A2-B5DBDE138860}</author>
    <author>tc={C7917CEC-1035-4F4B-8C95-DCB766B03417}</author>
    <author>tc={CA3802AD-49CA-8249-914F-7AA56B32221D}</author>
    <author>tc={D3A2F921-B4E9-EF46-844D-70C9C4EDEF94}</author>
    <author>tc={50A39540-46F8-DA44-9D26-904B2A2274AA}</author>
    <author>tc={F087726C-5235-8045-887B-3BD2094A73ED}</author>
    <author>tc={45ECDFF8-C292-454F-88D7-262500082FFD}</author>
    <author>tc={9F34C136-B7DD-7D44-A2C3-6E8A6A519947}</author>
    <author>tc={605FF053-0FF1-D44B-B957-E109DD7DD101}</author>
    <author>tc={6A03C75E-6600-2C4D-A0E0-EBEAD9845DB7}</author>
    <author>tc={348541D3-A528-754A-AE65-1E421788FAE7}</author>
    <author>tc={26EC5111-B96E-A64D-AE00-4020F7BBC6ED}</author>
    <author>tc={7BD713A6-0A9E-6742-9FE0-6027DEFA9559}</author>
    <author>tc={D38F5404-0F8B-0F49-AEE6-912EA4725FD5}</author>
    <author>tc={B3BF67CE-BA6C-E74B-B9CD-C9EA8C3549E9}</author>
    <author>tc={F89E1B95-8698-F14B-B1BB-E40843686ADF}</author>
    <author>tc={9A3F3FE8-29DB-5F4B-A39C-66AD1DB98D21}</author>
    <author>tc={2E596004-6AEB-E242-8640-E8460468B0C2}</author>
    <author>tc={68647F84-46D7-7642-83F2-2A4822158AA2}</author>
    <author>tc={FDDC2009-6CCD-DB4B-AE1C-37104B13463A}</author>
    <author>tc={64CBB9C4-5316-2A4E-A57D-76C24C3911E8}</author>
    <author>tc={3BB3BB5E-B349-DA4C-9216-30FD7DCC86AF}</author>
    <author>tc={B01B3B27-D964-9441-9291-3B7FFE354899}</author>
    <author>tc={21246672-8A62-954F-9D95-744F8F2A4E3C}</author>
    <author>tc={F300E67F-4A4C-CF4D-A299-73FB01694977}</author>
    <author>tc={A01D4490-FAE8-B740-B877-7DEE44DA4340}</author>
    <author>tc={671D74F9-B54D-4D41-899F-7DB2399642B0}</author>
    <author>tc={D7CE6469-2943-9448-B561-754A8C67BBF9}</author>
    <author>tc={274ACC1D-192B-A242-A357-B77EA4D869AC}</author>
    <author>tc={A90508FC-B59A-D94C-A923-DF859EE18553}</author>
    <author>tc={8F3BF28E-0F87-B246-B443-493B11E5C3D1}</author>
    <author>tc={D3B99C77-B3D0-DF41-B557-522C0CC0C364}</author>
    <author>tc={F1818F2F-A10B-714A-9C1F-9D8001AD7193}</author>
    <author>tc={A4F46F0F-EFDA-5A49-AFE7-E8BF95F68A96}</author>
    <author>tc={FEA6F600-AF4C-704A-BCC6-938BA2BA3CBD}</author>
    <author>tc={B2B0E68E-6F92-4D43-B9D9-E4E4751662E8}</author>
    <author>tc={83076D3D-F65E-454A-98FA-5DB1D0A3AFC5}</author>
    <author>tc={3DFB9B19-B4F9-8642-9292-57A11A7532B7}</author>
    <author>tc={8F8D741E-7CC2-D74D-8918-EB78FB431F7D}</author>
    <author>tc={2E3F6306-5470-D24B-8D70-55EF2BB01208}</author>
    <author>tc={F8B43F71-02AE-C342-BF20-9525E35341EC}</author>
    <author>tc={7B3D8B83-3472-C844-B926-ED6463323FD2}</author>
    <author>tc={1EF4A7D1-E168-B04B-9FD5-D962142B2667}</author>
    <author>tc={FC88D958-03EE-7F4D-95B6-5DE385547237}</author>
    <author>tc={D25F413C-26D7-6D4C-A623-529DF589F575}</author>
    <author>tc={7C4CDC14-2071-C946-B45E-0069103FA665}</author>
    <author>tc={37C16E26-6C2D-D840-A42B-73B25284987F}</author>
  </authors>
  <commentList>
    <comment ref="A10" authorId="0" shapeId="0" xr:uid="{0A74150F-5278-244B-B0E9-B185AD217541}">
      <text>
        <t>[Threaded comment]
Your version of Excel allows you to read this threaded comment; however, any edits to it will get removed if the file is opened in a newer version of Excel. Learn more: https://go.microsoft.com/fwlink/?linkid=870924
Comment:
    VSTS is Vancouver South Transfer Station, VLF is Vancouver Landfill</t>
      </text>
    </comment>
    <comment ref="E50" authorId="1" shapeId="0" xr:uid="{D46A020A-C7D1-A04B-8A3E-280DBD537B03}">
      <text>
        <t>[Threaded comment]
Your version of Excel allows you to read this threaded comment; however, any edits to it will get removed if the file is opened in a newer version of Excel. Learn more: https://go.microsoft.com/fwlink/?linkid=870924
Comment:
    actual in spreadsheet is 1193880 due to averaging</t>
      </text>
    </comment>
    <comment ref="H50" authorId="2" shapeId="0" xr:uid="{86DA9847-9F48-AD46-BDC2-94A05842A9DB}">
      <text>
        <t>[Threaded comment]
Your version of Excel allows you to read this threaded comment; however, any edits to it will get removed if the file is opened in a newer version of Excel. Learn more: https://go.microsoft.com/fwlink/?linkid=870924
Comment:
    actual in spreadsheet is 1193880 due to averaging</t>
      </text>
    </comment>
    <comment ref="K50" authorId="3" shapeId="0" xr:uid="{89107F4C-8AF1-FA45-9BB5-CF2B9B6BA249}">
      <text>
        <t>[Threaded comment]
Your version of Excel allows you to read this threaded comment; however, any edits to it will get removed if the file is opened in a newer version of Excel. Learn more: https://go.microsoft.com/fwlink/?linkid=870924
Comment:
    actual in spreadsheet is 1193880 due to averaging</t>
      </text>
    </comment>
    <comment ref="N50" authorId="4" shapeId="0" xr:uid="{5FE2B4AF-662D-5B4E-8E98-90AB905C4522}">
      <text>
        <t>[Threaded comment]
Your version of Excel allows you to read this threaded comment; however, any edits to it will get removed if the file is opened in a newer version of Excel. Learn more: https://go.microsoft.com/fwlink/?linkid=870924
Comment:
    actual in spreadsheet is 1193880 due to averaging</t>
      </text>
    </comment>
    <comment ref="E51" authorId="5" shapeId="0" xr:uid="{B13ACDBD-BD4D-D64A-860F-068EC3991832}">
      <text>
        <t>[Threaded comment]
Your version of Excel allows you to read this threaded comment; however, any edits to it will get removed if the file is opened in a newer version of Excel. Learn more: https://go.microsoft.com/fwlink/?linkid=870924
Comment:
    actual in spreadsheet is 7778868 due to averaging</t>
      </text>
    </comment>
    <comment ref="H51" authorId="6" shapeId="0" xr:uid="{BD8F7DDB-4F29-C443-B2C4-19BE216E381C}">
      <text>
        <t>[Threaded comment]
Your version of Excel allows you to read this threaded comment; however, any edits to it will get removed if the file is opened in a newer version of Excel. Learn more: https://go.microsoft.com/fwlink/?linkid=870924
Comment:
    actual in spreadsheet is 7778868 due to averaging</t>
      </text>
    </comment>
    <comment ref="K51" authorId="7" shapeId="0" xr:uid="{089649D4-E501-2B43-AB66-4D1EDF7D0975}">
      <text>
        <t>[Threaded comment]
Your version of Excel allows you to read this threaded comment; however, any edits to it will get removed if the file is opened in a newer version of Excel. Learn more: https://go.microsoft.com/fwlink/?linkid=870924
Comment:
    actual in spreadsheet is 7778868 due to averaging</t>
      </text>
    </comment>
    <comment ref="N51" authorId="8" shapeId="0" xr:uid="{8E8A0286-D50C-8441-B3A2-B5DBDE138860}">
      <text>
        <t>[Threaded comment]
Your version of Excel allows you to read this threaded comment; however, any edits to it will get removed if the file is opened in a newer version of Excel. Learn more: https://go.microsoft.com/fwlink/?linkid=870924
Comment:
    actual in spreadsheet is 7778868 due to averaging</t>
      </text>
    </comment>
    <comment ref="E53" authorId="9" shapeId="0" xr:uid="{C7917CEC-1035-4F4B-8C95-DCB766B03417}">
      <text>
        <t>[Threaded comment]
Your version of Excel allows you to read this threaded comment; however, any edits to it will get removed if the file is opened in a newer version of Excel. Learn more: https://go.microsoft.com/fwlink/?linkid=870924
Comment:
    62.5% of 277,997 based on $37012103/$59264005</t>
      </text>
    </comment>
    <comment ref="H53" authorId="10" shapeId="0" xr:uid="{CA3802AD-49CA-8249-914F-7AA56B32221D}">
      <text>
        <t>[Threaded comment]
Your version of Excel allows you to read this threaded comment; however, any edits to it will get removed if the file is opened in a newer version of Excel. Learn more: https://go.microsoft.com/fwlink/?linkid=870924
Comment:
    62.5% of 277,997 based on $37012103/$59264005</t>
      </text>
    </comment>
    <comment ref="K53" authorId="11" shapeId="0" xr:uid="{D3A2F921-B4E9-EF46-844D-70C9C4EDEF94}">
      <text>
        <t>[Threaded comment]
Your version of Excel allows you to read this threaded comment; however, any edits to it will get removed if the file is opened in a newer version of Excel. Learn more: https://go.microsoft.com/fwlink/?linkid=870924
Comment:
    62.5% of 277,997 based on $37012103/$59264005</t>
      </text>
    </comment>
    <comment ref="N53" authorId="12" shapeId="0" xr:uid="{50A39540-46F8-DA44-9D26-904B2A2274AA}">
      <text>
        <t>[Threaded comment]
Your version of Excel allows you to read this threaded comment; however, any edits to it will get removed if the file is opened in a newer version of Excel. Learn more: https://go.microsoft.com/fwlink/?linkid=870924
Comment:
    62.5% of 277,997 based on $37012103/$59264005</t>
      </text>
    </comment>
    <comment ref="D54" authorId="13" shapeId="0" xr:uid="{F087726C-5235-8045-887B-3BD2094A73ED}">
      <text>
        <t>[Threaded comment]
Your version of Excel allows you to read this threaded comment; however, any edits to it will get removed if the file is opened in a newer version of Excel. Learn more: https://go.microsoft.com/fwlink/?linkid=870924
Comment:
    seems to be waste to VLF (557k) not inc Delta/VAn direct haul minus bottom ash</t>
      </text>
    </comment>
    <comment ref="G54" authorId="14" shapeId="0" xr:uid="{45ECDFF8-C292-454F-88D7-262500082FFD}">
      <text>
        <t>[Threaded comment]
Your version of Excel allows you to read this threaded comment; however, any edits to it will get removed if the file is opened in a newer version of Excel. Learn more: https://go.microsoft.com/fwlink/?linkid=870924
Comment:
    seems to be waste to VLF (557k) not inc Delta/VAn direct haul minus bottom ash</t>
      </text>
    </comment>
    <comment ref="J54" authorId="15" shapeId="0" xr:uid="{9F34C136-B7DD-7D44-A2C3-6E8A6A519947}">
      <text>
        <t>[Threaded comment]
Your version of Excel allows you to read this threaded comment; however, any edits to it will get removed if the file is opened in a newer version of Excel. Learn more: https://go.microsoft.com/fwlink/?linkid=870924
Comment:
    seems to be waste to VLF (557k) not inc Delta/VAn direct haul minus bottom ash</t>
      </text>
    </comment>
    <comment ref="M54" authorId="16" shapeId="0" xr:uid="{605FF053-0FF1-D44B-B957-E109DD7DD101}">
      <text>
        <t>[Threaded comment]
Your version of Excel allows you to read this threaded comment; however, any edits to it will get removed if the file is opened in a newer version of Excel. Learn more: https://go.microsoft.com/fwlink/?linkid=870924
Comment:
    seems to be waste to VLF (557k) not inc Delta/VAn direct haul minus bottom ash</t>
      </text>
    </comment>
    <comment ref="C63" authorId="17" shapeId="0" xr:uid="{6A03C75E-6600-2C4D-A0E0-EBEAD9845DB7}">
      <text>
        <t>[Threaded comment]
Your version of Excel allows you to read this threaded comment; however, any edits to it will get removed if the file is opened in a newer version of Excel. Learn more: https://go.microsoft.com/fwlink/?linkid=870924
Comment:
    matches</t>
      </text>
    </comment>
    <comment ref="D63" authorId="18" shapeId="0" xr:uid="{348541D3-A528-754A-AE65-1E421788FAE7}">
      <text>
        <t>[Threaded comment]
Your version of Excel allows you to read this threaded comment; however, any edits to it will get removed if the file is opened in a newer version of Excel. Learn more: https://go.microsoft.com/fwlink/?linkid=870924
Comment:
    unclear source -perhaps line 31 total VLF minus bottom ash?</t>
      </text>
    </comment>
    <comment ref="F63" authorId="19" shapeId="0" xr:uid="{26EC5111-B96E-A64D-AE00-4020F7BBC6ED}">
      <text>
        <t>[Threaded comment]
Your version of Excel allows you to read this threaded comment; however, any edits to it will get removed if the file is opened in a newer version of Excel. Learn more: https://go.microsoft.com/fwlink/?linkid=870924
Comment:
    matches</t>
      </text>
    </comment>
    <comment ref="G63" authorId="20" shapeId="0" xr:uid="{7BD713A6-0A9E-6742-9FE0-6027DEFA9559}">
      <text>
        <t>[Threaded comment]
Your version of Excel allows you to read this threaded comment; however, any edits to it will get removed if the file is opened in a newer version of Excel. Learn more: https://go.microsoft.com/fwlink/?linkid=870924
Comment:
    unclear source -perhaps line 31 total VLF minus bottom ash?</t>
      </text>
    </comment>
    <comment ref="I63" authorId="21" shapeId="0" xr:uid="{D38F5404-0F8B-0F49-AEE6-912EA4725FD5}">
      <text>
        <t>[Threaded comment]
Your version of Excel allows you to read this threaded comment; however, any edits to it will get removed if the file is opened in a newer version of Excel. Learn more: https://go.microsoft.com/fwlink/?linkid=870924
Comment:
    matches</t>
      </text>
    </comment>
    <comment ref="J63" authorId="22" shapeId="0" xr:uid="{B3BF67CE-BA6C-E74B-B9CD-C9EA8C3549E9}">
      <text>
        <t>[Threaded comment]
Your version of Excel allows you to read this threaded comment; however, any edits to it will get removed if the file is opened in a newer version of Excel. Learn more: https://go.microsoft.com/fwlink/?linkid=870924
Comment:
    unclear source -perhaps line 31 total VLF minus bottom ash?</t>
      </text>
    </comment>
    <comment ref="L63" authorId="23" shapeId="0" xr:uid="{F89E1B95-8698-F14B-B1BB-E40843686ADF}">
      <text>
        <t>[Threaded comment]
Your version of Excel allows you to read this threaded comment; however, any edits to it will get removed if the file is opened in a newer version of Excel. Learn more: https://go.microsoft.com/fwlink/?linkid=870924
Comment:
    matches</t>
      </text>
    </comment>
    <comment ref="M63" authorId="24" shapeId="0" xr:uid="{9A3F3FE8-29DB-5F4B-A39C-66AD1DB98D21}">
      <text>
        <t>[Threaded comment]
Your version of Excel allows you to read this threaded comment; however, any edits to it will get removed if the file is opened in a newer version of Excel. Learn more: https://go.microsoft.com/fwlink/?linkid=870924
Comment:
    unclear source -perhaps line 31 total VLF minus bottom ash?</t>
      </text>
    </comment>
    <comment ref="E67" authorId="25" shapeId="0" xr:uid="{2E596004-6AEB-E242-8640-E8460468B0C2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not subtracted in draft version</t>
      </text>
    </comment>
    <comment ref="H67" authorId="26" shapeId="0" xr:uid="{68647F84-46D7-7642-83F2-2A4822158AA2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not subtracted in draft version</t>
      </text>
    </comment>
    <comment ref="K67" authorId="27" shapeId="0" xr:uid="{FDDC2009-6CCD-DB4B-AE1C-37104B13463A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not subtracted in draft version</t>
      </text>
    </comment>
    <comment ref="N67" authorId="28" shapeId="0" xr:uid="{64CBB9C4-5316-2A4E-A57D-76C24C3911E8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not subtracted in draft version</t>
      </text>
    </comment>
    <comment ref="E69" authorId="29" shapeId="0" xr:uid="{3BB3BB5E-B349-DA4C-9216-30FD7DCC86AF}">
      <text>
        <t>[Threaded comment]
Your version of Excel allows you to read this threaded comment; however, any edits to it will get removed if the file is opened in a newer version of Excel. Learn more: https://go.microsoft.com/fwlink/?linkid=870924
Comment:
    close to equalling hauling costs lines 50-52 ($1752 off)</t>
      </text>
    </comment>
    <comment ref="H69" authorId="30" shapeId="0" xr:uid="{B01B3B27-D964-9441-9291-3B7FFE354899}">
      <text>
        <t>[Threaded comment]
Your version of Excel allows you to read this threaded comment; however, any edits to it will get removed if the file is opened in a newer version of Excel. Learn more: https://go.microsoft.com/fwlink/?linkid=870924
Comment:
    close to equalling hauling costs lines 50-52 ($1752 off)</t>
      </text>
    </comment>
    <comment ref="K69" authorId="31" shapeId="0" xr:uid="{21246672-8A62-954F-9D95-744F8F2A4E3C}">
      <text>
        <t>[Threaded comment]
Your version of Excel allows you to read this threaded comment; however, any edits to it will get removed if the file is opened in a newer version of Excel. Learn more: https://go.microsoft.com/fwlink/?linkid=870924
Comment:
    close to equalling hauling costs lines 50-52 ($1752 off)</t>
      </text>
    </comment>
    <comment ref="N69" authorId="32" shapeId="0" xr:uid="{F300E67F-4A4C-CF4D-A299-73FB01694977}">
      <text>
        <t>[Threaded comment]
Your version of Excel allows you to read this threaded comment; however, any edits to it will get removed if the file is opened in a newer version of Excel. Learn more: https://go.microsoft.com/fwlink/?linkid=870924
Comment:
    close to equalling hauling costs lines 50-52 ($1752 off)</t>
      </text>
    </comment>
    <comment ref="E70" authorId="33" shapeId="0" xr:uid="{A01D4490-FAE8-B740-B877-7DEE44DA4340}">
      <text>
        <t>[Threaded comment]
Your version of Excel allows you to read this threaded comment; however, any edits to it will get removed if the file is opened in a newer version of Excel. Learn more: https://go.microsoft.com/fwlink/?linkid=870924
Comment:
    unclear why this is subtracted
Reply:
    and it was not in draft version</t>
      </text>
    </comment>
    <comment ref="H70" authorId="34" shapeId="0" xr:uid="{671D74F9-B54D-4D41-899F-7DB2399642B0}">
      <text>
        <t>[Threaded comment]
Your version of Excel allows you to read this threaded comment; however, any edits to it will get removed if the file is opened in a newer version of Excel. Learn more: https://go.microsoft.com/fwlink/?linkid=870924
Comment:
    unclear why this is subtracted
Reply:
    and it was not in draft version</t>
      </text>
    </comment>
    <comment ref="K70" authorId="35" shapeId="0" xr:uid="{D7CE6469-2943-9448-B561-754A8C67BBF9}">
      <text>
        <t>[Threaded comment]
Your version of Excel allows you to read this threaded comment; however, any edits to it will get removed if the file is opened in a newer version of Excel. Learn more: https://go.microsoft.com/fwlink/?linkid=870924
Comment:
    unclear why this is subtracted
Reply:
    and it was not in draft version</t>
      </text>
    </comment>
    <comment ref="N70" authorId="36" shapeId="0" xr:uid="{274ACC1D-192B-A242-A357-B77EA4D869AC}">
      <text>
        <t>[Threaded comment]
Your version of Excel allows you to read this threaded comment; however, any edits to it will get removed if the file is opened in a newer version of Excel. Learn more: https://go.microsoft.com/fwlink/?linkid=870924
Comment:
    unclear why this is subtracted
Reply:
    and it was not in draft version</t>
      </text>
    </comment>
    <comment ref="E75" authorId="37" shapeId="0" xr:uid="{A90508FC-B59A-D94C-A923-DF859EE18553}">
      <text>
        <t>[Threaded comment]
Your version of Excel allows you to read this threaded comment; however, any edits to it will get removed if the file is opened in a newer version of Excel. Learn more: https://go.microsoft.com/fwlink/?linkid=870924
Comment:
    R&amp;WC debt share is 65.6% (8176463/12465602) with note that actual 2024 debt share was $10,637,452.</t>
      </text>
    </comment>
    <comment ref="H75" authorId="38" shapeId="0" xr:uid="{8F3BF28E-0F87-B246-B443-493B11E5C3D1}">
      <text>
        <t>[Threaded comment]
Your version of Excel allows you to read this threaded comment; however, any edits to it will get removed if the file is opened in a newer version of Excel. Learn more: https://go.microsoft.com/fwlink/?linkid=870924
Comment:
    R&amp;WC debt share is 65.6% (8176463/12465602) with note that actual 2024 debt share was $10,637,452.</t>
      </text>
    </comment>
    <comment ref="K75" authorId="39" shapeId="0" xr:uid="{D3B99C77-B3D0-DF41-B557-522C0CC0C364}">
      <text>
        <t>[Threaded comment]
Your version of Excel allows you to read this threaded comment; however, any edits to it will get removed if the file is opened in a newer version of Excel. Learn more: https://go.microsoft.com/fwlink/?linkid=870924
Comment:
    R&amp;WC debt share is 65.6% (8176463/12465602) with note that actual 2024 debt share was $10,637,452.</t>
      </text>
    </comment>
    <comment ref="N75" authorId="40" shapeId="0" xr:uid="{F1818F2F-A10B-714A-9C1F-9D8001AD7193}">
      <text>
        <t>[Threaded comment]
Your version of Excel allows you to read this threaded comment; however, any edits to it will get removed if the file is opened in a newer version of Excel. Learn more: https://go.microsoft.com/fwlink/?linkid=870924
Comment:
    R&amp;WC debt share is 65.6% (8176463/12465602) with note that actual 2024 debt share was $10,637,452.</t>
      </text>
    </comment>
    <comment ref="A90" authorId="41" shapeId="0" xr:uid="{A4F46F0F-EFDA-5A49-AFE7-E8BF95F68A96}">
      <text>
        <t>[Threaded comment]
Your version of Excel allows you to read this threaded comment; however, any edits to it will get removed if the file is opened in a newer version of Excel. Learn more: https://go.microsoft.com/fwlink/?linkid=870924
Comment:
    $295-$153 for regular waste</t>
      </text>
    </comment>
    <comment ref="E92" authorId="42" shapeId="0" xr:uid="{FEA6F600-AF4C-704A-BCC6-938BA2BA3CB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WTEF debt share is 25.3% (3151298/12465602) with note that actual 2024 debt share was $10,637,452.
</t>
      </text>
    </comment>
    <comment ref="H92" authorId="43" shapeId="0" xr:uid="{B2B0E68E-6F92-4D43-B9D9-E4E4751662E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WTEF debt share is 25.3% (3151298/12465602) with note that actual 2024 debt share was $10,637,452.
</t>
      </text>
    </comment>
    <comment ref="K92" authorId="44" shapeId="0" xr:uid="{83076D3D-F65E-454A-98FA-5DB1D0A3AFC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WTEF debt share is 25.3% (3151298/12465602) with note that actual 2024 debt share was $10,637,452.
</t>
      </text>
    </comment>
    <comment ref="N92" authorId="45" shapeId="0" xr:uid="{3DFB9B19-B4F9-8642-9292-57A11A7532B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WTEF debt share is 25.3% (3151298/12465602) with note that actual 2024 debt share was $10,637,452.
</t>
      </text>
    </comment>
    <comment ref="C113" authorId="46" shapeId="0" xr:uid="{8F8D741E-7CC2-D74D-8918-EB78FB431F7D}">
      <text>
        <t>[Threaded comment]
Your version of Excel allows you to read this threaded comment; however, any edits to it will get removed if the file is opened in a newer version of Excel. Learn more: https://go.microsoft.com/fwlink/?linkid=870924
Comment:
    one version had $15</t>
      </text>
    </comment>
    <comment ref="F113" authorId="47" shapeId="0" xr:uid="{2E3F6306-5470-D24B-8D70-55EF2BB01208}">
      <text>
        <t>[Threaded comment]
Your version of Excel allows you to read this threaded comment; however, any edits to it will get removed if the file is opened in a newer version of Excel. Learn more: https://go.microsoft.com/fwlink/?linkid=870924
Comment:
    one version had $15</t>
      </text>
    </comment>
    <comment ref="I113" authorId="48" shapeId="0" xr:uid="{F8B43F71-02AE-C342-BF20-9525E35341EC}">
      <text>
        <t>[Threaded comment]
Your version of Excel allows you to read this threaded comment; however, any edits to it will get removed if the file is opened in a newer version of Excel. Learn more: https://go.microsoft.com/fwlink/?linkid=870924
Comment:
    one version had $15</t>
      </text>
    </comment>
    <comment ref="L113" authorId="49" shapeId="0" xr:uid="{7B3D8B83-3472-C844-B926-ED6463323FD2}">
      <text>
        <t>[Threaded comment]
Your version of Excel allows you to read this threaded comment; however, any edits to it will get removed if the file is opened in a newer version of Excel. Learn more: https://go.microsoft.com/fwlink/?linkid=870924
Comment:
    one version had $15</t>
      </text>
    </comment>
    <comment ref="N123" authorId="50" shapeId="0" xr:uid="{1EF4A7D1-E168-B04B-9FD5-D962142B266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used $245M for 5 yrs to get cost
</t>
      </text>
    </comment>
    <comment ref="C141" authorId="51" shapeId="0" xr:uid="{FC88D958-03EE-7F4D-95B6-5DE385547237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in 2023 but not 2024</t>
      </text>
    </comment>
    <comment ref="F141" authorId="52" shapeId="0" xr:uid="{D25F413C-26D7-6D4C-A623-529DF589F575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in 2023 but not 2024</t>
      </text>
    </comment>
    <comment ref="I141" authorId="53" shapeId="0" xr:uid="{7C4CDC14-2071-C946-B45E-0069103FA665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in 2023 but not 2024</t>
      </text>
    </comment>
    <comment ref="L141" authorId="54" shapeId="0" xr:uid="{37C16E26-6C2D-D840-A42B-73B25284987F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in 2023 but not 2024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tc={43A79462-946F-824E-8201-DA9345C20BB8}</author>
    <author>tc={25C83DCF-3D20-EA40-9A30-CFDF6AC9CDD0}</author>
    <author>tc={6FD695B0-D331-D540-985C-48B5747421D0}</author>
    <author>tc={8EAACDA4-8719-2E43-A955-4ADE18732ED8}</author>
    <author>tc={880F5067-9241-AD4F-B290-3A16FC44AF9A}</author>
    <author>tc={D8CAC5A4-1D9D-6849-B83B-EF685A03556C}</author>
    <author>tc={813D27AA-90DD-0343-9EF4-4EFB99DB1145}</author>
    <author>tc={9F1F434D-D4CF-AD44-827F-9F6E59245A9C}</author>
    <author>tc={AEFEF290-F142-6348-9F89-F89C27982F1E}</author>
    <author>tc={4EF2024E-33AE-1447-94D5-16A47214CF62}</author>
    <author>tc={719E71E4-873B-994F-ABC0-DC756B3D4AC3}</author>
    <author>tc={8988B0BB-CE99-514F-BD60-955B763E31B6}</author>
    <author>tc={7EE705A9-74EF-D346-AA2B-5EC93C8AE2BA}</author>
    <author>tc={82AF0F37-A1A3-8E40-A86B-1BEA0F4AB2A4}</author>
    <author>tc={20AFCF70-402F-A049-9182-91047409796F}</author>
    <author>tc={681400DC-674B-4C4F-949C-8AD45C9EAE59}</author>
    <author>tc={7B52BC65-0D75-D04F-81A7-14DB090921AE}</author>
    <author>tc={B940B1D0-8954-A94E-BC4E-ED7F422FC7A0}</author>
    <author>tc={4BB1D6F6-B86C-ED47-8C0A-E2F73227CE62}</author>
    <author>tc={05844752-C5DF-074B-8498-D6AF056BB16F}</author>
    <author>tc={A0100551-9F6D-5F44-90A3-994CD5A87D9C}</author>
    <author>tc={99A7577B-4A05-514C-B1D7-E11C0640D7AB}</author>
    <author>tc={558DB81A-F74D-EB48-B7EB-0F8BF4D6629A}</author>
  </authors>
  <commentList>
    <comment ref="D2" authorId="0" shapeId="0" xr:uid="{43A79462-946F-824E-8201-DA9345C20BB8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 this is just clean wood delivered to R&amp;WC -was 161,142 noted as clean wood recycling for whole region in 2022</t>
      </text>
    </comment>
    <comment ref="H2" authorId="1" shapeId="0" xr:uid="{25C83DCF-3D20-EA40-9A30-CFDF6AC9CDD0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 this is just clean wood delivered to R&amp;WC -was 161,142 noted as clean wood recycling for whole region in 2022</t>
      </text>
    </comment>
    <comment ref="K2" authorId="2" shapeId="0" xr:uid="{6FD695B0-D331-D540-985C-48B5747421D0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 this is just clean wood delivered to R&amp;WC -was 161,142 noted as clean wood recycling for whole region in 2022</t>
      </text>
    </comment>
    <comment ref="D3" authorId="3" shapeId="0" xr:uid="{8EAACDA4-8719-2E43-A955-4ADE18732ED8}">
      <text>
        <t>[Threaded comment]
Your version of Excel allows you to read this threaded comment; however, any edits to it will get removed if the file is opened in a newer version of Excel. Learn more: https://go.microsoft.com/fwlink/?linkid=870924
Comment:
    assume this is just clean wood delivered to R&amp;WC -was 161,142 noted as clean wood recycling for whole region in 2022</t>
      </text>
    </comment>
    <comment ref="A10" authorId="4" shapeId="0" xr:uid="{880F5067-9241-AD4F-B290-3A16FC44AF9A}">
      <text>
        <t>[Threaded comment]
Your version of Excel allows you to read this threaded comment; however, any edits to it will get removed if the file is opened in a newer version of Excel. Learn more: https://go.microsoft.com/fwlink/?linkid=870924
Comment:
    VSTS is Vancouver South Transfer Station, VLF is Vancouver Landfill</t>
      </text>
    </comment>
    <comment ref="E49" authorId="5" shapeId="0" xr:uid="{D8CAC5A4-1D9D-6849-B83B-EF685A03556C}">
      <text>
        <t>[Threaded comment]
Your version of Excel allows you to read this threaded comment; however, any edits to it will get removed if the file is opened in a newer version of Excel. Learn more: https://go.microsoft.com/fwlink/?linkid=870924
Comment:
    2024-2028 financial plan https://metrovancouver.org/about-us/Documents/financial-plan-proposed-2024-2028.pdf</t>
      </text>
    </comment>
    <comment ref="D50" authorId="6" shapeId="0" xr:uid="{813D27AA-90DD-0343-9EF4-4EFB99DB1145}">
      <text>
        <t>[Threaded comment]
Your version of Excel allows you to read this threaded comment; however, any edits to it will get removed if the file is opened in a newer version of Excel. Learn more: https://go.microsoft.com/fwlink/?linkid=870924
Comment:
    actual in spreadsheet is 1193880 due to averaging</t>
      </text>
    </comment>
    <comment ref="D51" authorId="7" shapeId="0" xr:uid="{9F1F434D-D4CF-AD44-827F-9F6E59245A9C}">
      <text>
        <t>[Threaded comment]
Your version of Excel allows you to read this threaded comment; however, any edits to it will get removed if the file is opened in a newer version of Excel. Learn more: https://go.microsoft.com/fwlink/?linkid=870924
Comment:
    actual in spreadsheet is 7778868 due to averaging</t>
      </text>
    </comment>
    <comment ref="D53" authorId="8" shapeId="0" xr:uid="{AEFEF290-F142-6348-9F89-F89C27982F1E}">
      <text>
        <t>[Threaded comment]
Your version of Excel allows you to read this threaded comment; however, any edits to it will get removed if the file is opened in a newer version of Excel. Learn more: https://go.microsoft.com/fwlink/?linkid=870924
Comment:
    62.5% of 277,997 based on $37012103/$59264005</t>
      </text>
    </comment>
    <comment ref="C54" authorId="9" shapeId="0" xr:uid="{4EF2024E-33AE-1447-94D5-16A47214CF62}">
      <text>
        <t>[Threaded comment]
Your version of Excel allows you to read this threaded comment; however, any edits to it will get removed if the file is opened in a newer version of Excel. Learn more: https://go.microsoft.com/fwlink/?linkid=870924
Comment:
    seems to be waste to VLF (557k) not inc Delta/VAn direct haul minus bottom ash</t>
      </text>
    </comment>
    <comment ref="B63" authorId="10" shapeId="0" xr:uid="{719E71E4-873B-994F-ABC0-DC756B3D4AC3}">
      <text>
        <t>[Threaded comment]
Your version of Excel allows you to read this threaded comment; however, any edits to it will get removed if the file is opened in a newer version of Excel. Learn more: https://go.microsoft.com/fwlink/?linkid=870924
Comment:
    matches</t>
      </text>
    </comment>
    <comment ref="C63" authorId="11" shapeId="0" xr:uid="{8988B0BB-CE99-514F-BD60-955B763E31B6}">
      <text>
        <t>[Threaded comment]
Your version of Excel allows you to read this threaded comment; however, any edits to it will get removed if the file is opened in a newer version of Excel. Learn more: https://go.microsoft.com/fwlink/?linkid=870924
Comment:
    unclear source -perhaps line 31 total VLF minus bottom ash?</t>
      </text>
    </comment>
    <comment ref="D67" authorId="12" shapeId="0" xr:uid="{7EE705A9-74EF-D346-AA2B-5EC93C8AE2BA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not subtracted in draft version</t>
      </text>
    </comment>
    <comment ref="D69" authorId="13" shapeId="0" xr:uid="{82AF0F37-A1A3-8E40-A86B-1BEA0F4AB2A4}">
      <text>
        <t>[Threaded comment]
Your version of Excel allows you to read this threaded comment; however, any edits to it will get removed if the file is opened in a newer version of Excel. Learn more: https://go.microsoft.com/fwlink/?linkid=870924
Comment:
    close to equalling hauling costs lines 50-52 ($1752 off)</t>
      </text>
    </comment>
    <comment ref="D70" authorId="14" shapeId="0" xr:uid="{20AFCF70-402F-A049-9182-91047409796F}">
      <text>
        <t>[Threaded comment]
Your version of Excel allows you to read this threaded comment; however, any edits to it will get removed if the file is opened in a newer version of Excel. Learn more: https://go.microsoft.com/fwlink/?linkid=870924
Comment:
    unclear why this is subtracted
Reply:
    and it was not in draft version</t>
      </text>
    </comment>
    <comment ref="D75" authorId="15" shapeId="0" xr:uid="{681400DC-674B-4C4F-949C-8AD45C9EAE59}">
      <text>
        <t>[Threaded comment]
Your version of Excel allows you to read this threaded comment; however, any edits to it will get removed if the file is opened in a newer version of Excel. Learn more: https://go.microsoft.com/fwlink/?linkid=870924
Comment:
    R&amp;WC debt share is 65.6% (8176463/12465602) with note that actual 2024 debt share was $10,637,452.</t>
      </text>
    </comment>
    <comment ref="A90" authorId="16" shapeId="0" xr:uid="{7B52BC65-0D75-D04F-81A7-14DB090921AE}">
      <text>
        <t>[Threaded comment]
Your version of Excel allows you to read this threaded comment; however, any edits to it will get removed if the file is opened in a newer version of Excel. Learn more: https://go.microsoft.com/fwlink/?linkid=870924
Comment:
    $295-$153 for regular waste</t>
      </text>
    </comment>
    <comment ref="D92" authorId="17" shapeId="0" xr:uid="{B940B1D0-8954-A94E-BC4E-ED7F422FC7A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WTEF debt share is 25.3% (3151298/12465602) with note that actual 2024 debt share was $10,637,452.
</t>
      </text>
    </comment>
    <comment ref="B113" authorId="18" shapeId="0" xr:uid="{4BB1D6F6-B86C-ED47-8C0A-E2F73227CE62}">
      <text>
        <t>[Threaded comment]
Your version of Excel allows you to read this threaded comment; however, any edits to it will get removed if the file is opened in a newer version of Excel. Learn more: https://go.microsoft.com/fwlink/?linkid=870924
Comment:
    one version had $15</t>
      </text>
    </comment>
    <comment ref="D114" authorId="19" shapeId="0" xr:uid="{05844752-C5DF-074B-8498-D6AF056BB16F}">
      <text>
        <t>[Threaded comment]
Your version of Excel allows you to read this threaded comment; however, any edits to it will get removed if the file is opened in a newer version of Excel. Learn more: https://go.microsoft.com/fwlink/?linkid=870924
Comment:
    equals B114*C110 but slightly off</t>
      </text>
    </comment>
    <comment ref="H114" authorId="20" shapeId="0" xr:uid="{A0100551-9F6D-5F44-90A3-994CD5A87D9C}">
      <text>
        <t>[Threaded comment]
Your version of Excel allows you to read this threaded comment; however, any edits to it will get removed if the file is opened in a newer version of Excel. Learn more: https://go.microsoft.com/fwlink/?linkid=870924
Comment:
    equals B114*C110 but slightly off</t>
      </text>
    </comment>
    <comment ref="K114" authorId="21" shapeId="0" xr:uid="{99A7577B-4A05-514C-B1D7-E11C0640D7AB}">
      <text>
        <t>[Threaded comment]
Your version of Excel allows you to read this threaded comment; however, any edits to it will get removed if the file is opened in a newer version of Excel. Learn more: https://go.microsoft.com/fwlink/?linkid=870924
Comment:
    equals B114*C110 but slightly off</t>
      </text>
    </comment>
    <comment ref="B141" authorId="22" shapeId="0" xr:uid="{558DB81A-F74D-EB48-B7EB-0F8BF4D6629A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in 2023 but not 2024</t>
      </text>
    </comment>
  </commentList>
</comments>
</file>

<file path=xl/sharedStrings.xml><?xml version="1.0" encoding="utf-8"?>
<sst xmlns="http://schemas.openxmlformats.org/spreadsheetml/2006/main" count="340" uniqueCount="147">
  <si>
    <t>Cost</t>
  </si>
  <si>
    <t>tonnes</t>
  </si>
  <si>
    <t>Category</t>
  </si>
  <si>
    <t>total tonnes</t>
  </si>
  <si>
    <t>garbage only tonnes</t>
  </si>
  <si>
    <t>resource recovery tonnes</t>
  </si>
  <si>
    <t>total Metro garbage</t>
  </si>
  <si>
    <t>total to WTEF</t>
  </si>
  <si>
    <t>total</t>
  </si>
  <si>
    <t>Vancouver/Delta (VLF) Garbage only</t>
  </si>
  <si>
    <t>total VLF/VSTS garbage</t>
  </si>
  <si>
    <t>total VLF/VSTS garbage inc lines 9, 10)</t>
  </si>
  <si>
    <t>OUTBOUND -Garbage only</t>
  </si>
  <si>
    <t>Other material to WTEF inc special waste -direct haul</t>
  </si>
  <si>
    <t>Recycling and Waste Centres -direct haul</t>
  </si>
  <si>
    <t>Metro to WTEF garbage only -direct haul</t>
  </si>
  <si>
    <t>Metro to VSTS to VLF garbage only -direct haul</t>
  </si>
  <si>
    <t>Metro to VLF garbage only -direct haul</t>
  </si>
  <si>
    <t>Vancouver/Delta (VSTS) Garbage only -direct haul</t>
  </si>
  <si>
    <t>VLF Other (btm ash, demo, residuals) -direct haul</t>
  </si>
  <si>
    <t>total regional waste garbage -direct haul</t>
  </si>
  <si>
    <t>Vancouver Landfill</t>
  </si>
  <si>
    <t xml:space="preserve">     Metro direct haul + VSTS</t>
  </si>
  <si>
    <t xml:space="preserve">     Metro VLF direct haul</t>
  </si>
  <si>
    <t xml:space="preserve">     Metro VLF transfer, garbage only</t>
  </si>
  <si>
    <t xml:space="preserve">    Delta/Van -direct haul VLF + VSTS</t>
  </si>
  <si>
    <t>total Metro to VSTS and VLF</t>
  </si>
  <si>
    <t xml:space="preserve">    VLF Other (btm ash, demo, residuals)</t>
  </si>
  <si>
    <t xml:space="preserve">  total Metro Garbage only waste, direct haul VSTS/VLF + VLF transfer</t>
  </si>
  <si>
    <t xml:space="preserve">  total VLF garbage only</t>
  </si>
  <si>
    <t>WTEF</t>
  </si>
  <si>
    <t>Waste to Energy Facility</t>
  </si>
  <si>
    <t xml:space="preserve">     Direct haul garbage only</t>
  </si>
  <si>
    <t xml:space="preserve">     Metro Recycling and Waste Centres Transfer</t>
  </si>
  <si>
    <t xml:space="preserve">     Direct haul other inc special waste</t>
  </si>
  <si>
    <t xml:space="preserve">     total</t>
  </si>
  <si>
    <t>total WTEF</t>
  </si>
  <si>
    <t xml:space="preserve">     CAMP</t>
  </si>
  <si>
    <t xml:space="preserve">     SEAIY</t>
  </si>
  <si>
    <t xml:space="preserve">     SUNRLF</t>
  </si>
  <si>
    <t>Hauling to contingency cost (from R&amp;WCs)</t>
  </si>
  <si>
    <t>Total Contingency</t>
  </si>
  <si>
    <t>Total Disposal</t>
  </si>
  <si>
    <t>Balance In -Out</t>
  </si>
  <si>
    <t xml:space="preserve">   total VLF</t>
  </si>
  <si>
    <t>Notes inc special waste, residuals, bottom ash)</t>
  </si>
  <si>
    <t>COSTS</t>
  </si>
  <si>
    <t>INBOUND GARBAGE</t>
  </si>
  <si>
    <t>Cost per tonne</t>
  </si>
  <si>
    <t>Tonnes</t>
  </si>
  <si>
    <t>Hauling to WTEF (from R&amp;WCs)</t>
  </si>
  <si>
    <t>Hauling to VLF (from R&amp;WCs)</t>
  </si>
  <si>
    <t>Hauling to Contingency Sites (total handling from R&amp;WCs)</t>
  </si>
  <si>
    <t>Metro LF Program Administration Labour Expense Allocation</t>
  </si>
  <si>
    <t>Metro -Delta Royalty cost for Garbage only Waste to VLF</t>
  </si>
  <si>
    <t>Metro Annual VLF Closure/Post Closure Reserve Allocation</t>
  </si>
  <si>
    <t>REGIONAL Facility Costs</t>
  </si>
  <si>
    <t>Van Landfill net operating expenditures</t>
  </si>
  <si>
    <t xml:space="preserve">     Operations net recovery</t>
  </si>
  <si>
    <t>Budget</t>
  </si>
  <si>
    <t xml:space="preserve">     VLF gas control</t>
  </si>
  <si>
    <t xml:space="preserve">     Weigh scales 50%</t>
  </si>
  <si>
    <t xml:space="preserve">     Solid Waste management (48.08%)</t>
  </si>
  <si>
    <t>Metro Recycling and Waste Centres</t>
  </si>
  <si>
    <t xml:space="preserve">    total operating costs</t>
  </si>
  <si>
    <t xml:space="preserve">     less VSTS contract expense</t>
  </si>
  <si>
    <t xml:space="preserve">     less sundry revenue</t>
  </si>
  <si>
    <t xml:space="preserve">     less contingency handling costs, WTEF/VLF transfer costs</t>
  </si>
  <si>
    <t xml:space="preserve">     less organics management cost</t>
  </si>
  <si>
    <t>net operating costs</t>
  </si>
  <si>
    <t xml:space="preserve">    solid waste transfer station administration</t>
  </si>
  <si>
    <t xml:space="preserve">    sundry revenue</t>
  </si>
  <si>
    <t>admin</t>
  </si>
  <si>
    <t>debt servicing</t>
  </si>
  <si>
    <t>total (inc debt servicing)</t>
  </si>
  <si>
    <t>Vancouver South Transfer Station</t>
  </si>
  <si>
    <t xml:space="preserve">   operating expenditure inc transfer costs to VLF</t>
  </si>
  <si>
    <t xml:space="preserve">    weighscales 50%</t>
  </si>
  <si>
    <t xml:space="preserve">    solid waste management (10.58%)</t>
  </si>
  <si>
    <t>Operating net</t>
  </si>
  <si>
    <t xml:space="preserve">     Waste incineration</t>
  </si>
  <si>
    <t xml:space="preserve">     Administration</t>
  </si>
  <si>
    <t xml:space="preserve">     Ferrous and Non ferrous sales -metal</t>
  </si>
  <si>
    <t xml:space="preserve">     Electricity sales</t>
  </si>
  <si>
    <t xml:space="preserve">     Special handling wastes increment</t>
  </si>
  <si>
    <t>Generator repair</t>
  </si>
  <si>
    <t xml:space="preserve">     repair cost</t>
  </si>
  <si>
    <t xml:space="preserve">     insurance payout business interruption for SWS turbine</t>
  </si>
  <si>
    <t xml:space="preserve">     Insurance payout for property insurance SWS turbine</t>
  </si>
  <si>
    <t>Total WTEF</t>
  </si>
  <si>
    <t>blended cost of 3 locations which includes radiation, state tax</t>
  </si>
  <si>
    <t>Contingency Hauling and Disposal</t>
  </si>
  <si>
    <t>Total Costs per tonne</t>
  </si>
  <si>
    <t>Metro R &amp;WC Operating inc admin, debt allocation</t>
  </si>
  <si>
    <t>Metro R &amp;WC Van LF transfer cost</t>
  </si>
  <si>
    <t>Van LF disposal cost</t>
  </si>
  <si>
    <t xml:space="preserve">     Metro Total Delta royalty blended rate</t>
  </si>
  <si>
    <t xml:space="preserve">     LF total operating cost net</t>
  </si>
  <si>
    <t xml:space="preserve">     Metro VLF Closure Priv NPV Estimate</t>
  </si>
  <si>
    <t xml:space="preserve">     LF Program Admin Labour Expense allocation</t>
  </si>
  <si>
    <t xml:space="preserve">     total Metro Garbage only waste , VLF direct haul + transfer tonnes</t>
  </si>
  <si>
    <t>total cost</t>
  </si>
  <si>
    <t>$/tonne</t>
  </si>
  <si>
    <t>Metro R&amp;WC Transfer Cost to WTEF transfer tonnes</t>
  </si>
  <si>
    <t>Metro R&amp;WC Operating Cost to WTEF transfer tonnes</t>
  </si>
  <si>
    <t>WTEF Operating Cost, net</t>
  </si>
  <si>
    <t xml:space="preserve">     Operating Cost</t>
  </si>
  <si>
    <t xml:space="preserve">     Total cost</t>
  </si>
  <si>
    <t xml:space="preserve">     Revenue -electricity sales</t>
  </si>
  <si>
    <t xml:space="preserve">     Revenue -metal sales ferrous and non-ferrous</t>
  </si>
  <si>
    <t xml:space="preserve">     Administration Cost</t>
  </si>
  <si>
    <t>Total VLF cost per tonne</t>
  </si>
  <si>
    <t xml:space="preserve">     Revenue -Special handled waste tipping fee incremenet</t>
  </si>
  <si>
    <t xml:space="preserve">    Total revenue</t>
  </si>
  <si>
    <t xml:space="preserve">     Total Burnaby WTEF Operating Cost net</t>
  </si>
  <si>
    <t xml:space="preserve">     Generator repair cost</t>
  </si>
  <si>
    <t xml:space="preserve">     Turbine Insurance Claim Business interruption</t>
  </si>
  <si>
    <t xml:space="preserve">     Turbine Insurance Claim Property</t>
  </si>
  <si>
    <t xml:space="preserve">     Total Generator Repair Insurance claims</t>
  </si>
  <si>
    <t xml:space="preserve">     Annual Debt service allocation</t>
  </si>
  <si>
    <t xml:space="preserve">     Total WTEF Operating net cost/tonne</t>
  </si>
  <si>
    <t xml:space="preserve">Total WTEF Disposal Cost </t>
  </si>
  <si>
    <t>Contingency Out of Region Alternative</t>
  </si>
  <si>
    <t>Metro R&amp; WC Operating Cost</t>
  </si>
  <si>
    <t>Contingency Transfer and Disposal Cost</t>
  </si>
  <si>
    <t>Metro R&amp;WC Handling Cost</t>
  </si>
  <si>
    <t>Total Contingency Disposal Cost</t>
  </si>
  <si>
    <t>inc in above</t>
  </si>
  <si>
    <t>Metro Labour Expense allocation</t>
  </si>
  <si>
    <t>possibly in R&amp;WC budget</t>
  </si>
  <si>
    <t>unclear where exists in budget</t>
  </si>
  <si>
    <t>unclear where this is in budget if at all</t>
  </si>
  <si>
    <t>?</t>
  </si>
  <si>
    <t>in a contingency budget?</t>
  </si>
  <si>
    <t>Note several cells have formulas added and the calculated numbers are slightly different than in MV pdf document as actual spreadsheet not provided but close enough to reflect formulas</t>
  </si>
  <si>
    <t>MV numbers</t>
  </si>
  <si>
    <t>2024 + without special handling</t>
  </si>
  <si>
    <t>2024 + with budgetted debt servicing</t>
  </si>
  <si>
    <t>2024 + if had new Veolia contract</t>
  </si>
  <si>
    <t>Costs</t>
  </si>
  <si>
    <t>Note grey is unedited</t>
  </si>
  <si>
    <t>capital</t>
  </si>
  <si>
    <t>yrs</t>
  </si>
  <si>
    <t>per yr</t>
  </si>
  <si>
    <t>per tonne</t>
  </si>
  <si>
    <t>2024 without insurance claims nor recycling centre costs (assumes usual electricity sales)</t>
  </si>
  <si>
    <t>Capital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</si>
</sst>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  <numFmt numFmtId="166" formatCode="_(&quot;$&quot;* #,##0_);_(&quot;$&quot;* \(#,##0\);_(&quot;$&quot;* &quot;-&quot;??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2" borderId="0" xfId="0" applyFill="1"/>
    <xf numFmtId="43" fontId="0" fillId="0" borderId="0" xfId="1" applyFont="1"/>
    <xf numFmtId="164" fontId="0" fillId="0" borderId="0" xfId="1" applyNumberFormat="1" applyFont="1"/>
    <xf numFmtId="165" fontId="0" fillId="0" borderId="0" xfId="1" applyNumberFormat="1" applyFont="1"/>
    <xf numFmtId="165" fontId="2" fillId="0" borderId="0" xfId="1" applyNumberFormat="1" applyFont="1"/>
    <xf numFmtId="0" fontId="2" fillId="0" borderId="1" xfId="0" applyFont="1" applyBorder="1"/>
    <xf numFmtId="165" fontId="2" fillId="0" borderId="1" xfId="1" applyNumberFormat="1" applyFont="1" applyBorder="1"/>
    <xf numFmtId="164" fontId="2" fillId="0" borderId="1" xfId="1" applyNumberFormat="1" applyFont="1" applyBorder="1"/>
    <xf numFmtId="164" fontId="2" fillId="0" borderId="0" xfId="1" applyNumberFormat="1" applyFont="1"/>
    <xf numFmtId="43" fontId="0" fillId="0" borderId="0" xfId="0" applyNumberFormat="1"/>
    <xf numFmtId="164" fontId="0" fillId="0" borderId="0" xfId="0" applyNumberFormat="1"/>
    <xf numFmtId="164" fontId="2" fillId="0" borderId="0" xfId="0" applyNumberFormat="1" applyFont="1"/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wrapText="1"/>
    </xf>
    <xf numFmtId="44" fontId="0" fillId="0" borderId="0" xfId="2" applyFont="1"/>
    <xf numFmtId="44" fontId="0" fillId="0" borderId="0" xfId="0" applyNumberFormat="1"/>
    <xf numFmtId="44" fontId="2" fillId="0" borderId="0" xfId="2" applyFont="1"/>
    <xf numFmtId="44" fontId="2" fillId="0" borderId="0" xfId="0" applyNumberFormat="1" applyFont="1"/>
    <xf numFmtId="165" fontId="0" fillId="0" borderId="0" xfId="0" applyNumberFormat="1"/>
    <xf numFmtId="165" fontId="2" fillId="0" borderId="0" xfId="0" applyNumberFormat="1" applyFont="1"/>
    <xf numFmtId="0" fontId="0" fillId="0" borderId="4" xfId="0" applyBorder="1"/>
    <xf numFmtId="0" fontId="2" fillId="0" borderId="3" xfId="0" applyFont="1" applyBorder="1"/>
    <xf numFmtId="166" fontId="0" fillId="0" borderId="0" xfId="2" applyNumberFormat="1" applyFont="1"/>
    <xf numFmtId="166" fontId="2" fillId="0" borderId="0" xfId="2" applyNumberFormat="1" applyFont="1"/>
    <xf numFmtId="166" fontId="0" fillId="0" borderId="0" xfId="0" applyNumberFormat="1"/>
    <xf numFmtId="166" fontId="2" fillId="0" borderId="0" xfId="0" applyNumberFormat="1" applyFont="1"/>
    <xf numFmtId="0" fontId="0" fillId="3" borderId="0" xfId="0" applyFill="1"/>
    <xf numFmtId="0" fontId="0" fillId="0" borderId="5" xfId="0" applyBorder="1"/>
    <xf numFmtId="0" fontId="2" fillId="0" borderId="6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7" xfId="0" applyFont="1" applyBorder="1"/>
    <xf numFmtId="43" fontId="0" fillId="0" borderId="5" xfId="0" applyNumberFormat="1" applyBorder="1"/>
    <xf numFmtId="0" fontId="2" fillId="0" borderId="5" xfId="0" applyFont="1" applyBorder="1"/>
    <xf numFmtId="0" fontId="0" fillId="0" borderId="6" xfId="0" applyBorder="1"/>
    <xf numFmtId="44" fontId="0" fillId="0" borderId="5" xfId="2" applyFont="1" applyBorder="1"/>
    <xf numFmtId="44" fontId="0" fillId="0" borderId="5" xfId="0" applyNumberFormat="1" applyBorder="1"/>
    <xf numFmtId="0" fontId="0" fillId="0" borderId="8" xfId="0" applyBorder="1"/>
    <xf numFmtId="0" fontId="0" fillId="2" borderId="5" xfId="0" applyFill="1" applyBorder="1"/>
    <xf numFmtId="0" fontId="0" fillId="4" borderId="0" xfId="0" applyFill="1"/>
    <xf numFmtId="44" fontId="2" fillId="0" borderId="5" xfId="2" applyFont="1" applyBorder="1"/>
    <xf numFmtId="165" fontId="0" fillId="0" borderId="5" xfId="1" applyNumberFormat="1" applyFont="1" applyBorder="1"/>
    <xf numFmtId="165" fontId="2" fillId="0" borderId="7" xfId="1" applyNumberFormat="1" applyFont="1" applyBorder="1"/>
    <xf numFmtId="165" fontId="2" fillId="0" borderId="5" xfId="1" applyNumberFormat="1" applyFont="1" applyBorder="1"/>
    <xf numFmtId="44" fontId="2" fillId="0" borderId="5" xfId="0" applyNumberFormat="1" applyFont="1" applyBorder="1"/>
    <xf numFmtId="166" fontId="0" fillId="0" borderId="5" xfId="2" applyNumberFormat="1" applyFont="1" applyBorder="1"/>
    <xf numFmtId="166" fontId="0" fillId="0" borderId="5" xfId="0" applyNumberFormat="1" applyBorder="1"/>
    <xf numFmtId="0" fontId="0" fillId="5" borderId="0" xfId="0" applyFill="1"/>
    <xf numFmtId="0" fontId="0" fillId="6" borderId="0" xfId="0" applyFill="1"/>
    <xf numFmtId="0" fontId="0" fillId="6" borderId="5" xfId="0" applyFill="1" applyBorder="1"/>
    <xf numFmtId="0" fontId="0" fillId="7" borderId="0" xfId="0" applyFill="1"/>
    <xf numFmtId="0" fontId="0" fillId="7" borderId="5" xfId="0" applyFill="1" applyBorder="1"/>
    <xf numFmtId="0" fontId="2" fillId="8" borderId="0" xfId="0" applyFont="1" applyFill="1" applyAlignment="1">
      <alignment wrapText="1"/>
    </xf>
    <xf numFmtId="0" fontId="2" fillId="8" borderId="5" xfId="0" applyFont="1" applyFill="1" applyBorder="1" applyAlignment="1">
      <alignment wrapText="1"/>
    </xf>
    <xf numFmtId="165" fontId="0" fillId="8" borderId="0" xfId="1" applyNumberFormat="1" applyFont="1" applyFill="1"/>
    <xf numFmtId="164" fontId="0" fillId="8" borderId="0" xfId="1" applyNumberFormat="1" applyFont="1" applyFill="1"/>
    <xf numFmtId="165" fontId="0" fillId="8" borderId="5" xfId="1" applyNumberFormat="1" applyFont="1" applyFill="1" applyBorder="1"/>
    <xf numFmtId="165" fontId="2" fillId="8" borderId="1" xfId="1" applyNumberFormat="1" applyFont="1" applyFill="1" applyBorder="1"/>
    <xf numFmtId="164" fontId="2" fillId="8" borderId="1" xfId="1" applyNumberFormat="1" applyFont="1" applyFill="1" applyBorder="1"/>
    <xf numFmtId="165" fontId="2" fillId="8" borderId="7" xfId="1" applyNumberFormat="1" applyFont="1" applyFill="1" applyBorder="1"/>
    <xf numFmtId="165" fontId="2" fillId="8" borderId="0" xfId="1" applyNumberFormat="1" applyFont="1" applyFill="1"/>
    <xf numFmtId="164" fontId="2" fillId="8" borderId="0" xfId="1" applyNumberFormat="1" applyFont="1" applyFill="1"/>
    <xf numFmtId="165" fontId="2" fillId="8" borderId="5" xfId="1" applyNumberFormat="1" applyFont="1" applyFill="1" applyBorder="1"/>
    <xf numFmtId="164" fontId="2" fillId="8" borderId="0" xfId="0" applyNumberFormat="1" applyFont="1" applyFill="1"/>
    <xf numFmtId="0" fontId="0" fillId="8" borderId="2" xfId="0" applyFill="1" applyBorder="1"/>
    <xf numFmtId="0" fontId="0" fillId="8" borderId="6" xfId="0" applyFill="1" applyBorder="1"/>
    <xf numFmtId="0" fontId="0" fillId="8" borderId="0" xfId="0" applyFill="1"/>
    <xf numFmtId="0" fontId="0" fillId="8" borderId="5" xfId="0" applyFill="1" applyBorder="1"/>
    <xf numFmtId="164" fontId="0" fillId="8" borderId="0" xfId="0" applyNumberFormat="1" applyFill="1"/>
    <xf numFmtId="0" fontId="2" fillId="8" borderId="0" xfId="0" applyFont="1" applyFill="1"/>
    <xf numFmtId="0" fontId="2" fillId="8" borderId="5" xfId="0" applyFont="1" applyFill="1" applyBorder="1"/>
    <xf numFmtId="44" fontId="0" fillId="8" borderId="0" xfId="2" applyFont="1" applyFill="1"/>
    <xf numFmtId="43" fontId="0" fillId="8" borderId="0" xfId="1" applyFont="1" applyFill="1"/>
    <xf numFmtId="44" fontId="0" fillId="8" borderId="5" xfId="2" applyFont="1" applyFill="1" applyBorder="1"/>
    <xf numFmtId="43" fontId="0" fillId="8" borderId="0" xfId="0" applyNumberFormat="1" applyFill="1"/>
    <xf numFmtId="165" fontId="0" fillId="8" borderId="0" xfId="0" applyNumberFormat="1" applyFill="1"/>
    <xf numFmtId="44" fontId="0" fillId="8" borderId="5" xfId="0" applyNumberFormat="1" applyFill="1" applyBorder="1"/>
    <xf numFmtId="44" fontId="2" fillId="8" borderId="0" xfId="2" applyFont="1" applyFill="1"/>
    <xf numFmtId="44" fontId="2" fillId="8" borderId="5" xfId="2" applyFont="1" applyFill="1" applyBorder="1"/>
    <xf numFmtId="44" fontId="2" fillId="8" borderId="5" xfId="0" applyNumberFormat="1" applyFont="1" applyFill="1" applyBorder="1"/>
    <xf numFmtId="44" fontId="2" fillId="8" borderId="0" xfId="0" applyNumberFormat="1" applyFont="1" applyFill="1"/>
    <xf numFmtId="165" fontId="2" fillId="8" borderId="0" xfId="0" applyNumberFormat="1" applyFont="1" applyFill="1"/>
    <xf numFmtId="0" fontId="2" fillId="9" borderId="0" xfId="0" applyFont="1" applyFill="1"/>
    <xf numFmtId="44" fontId="2" fillId="9" borderId="0" xfId="0" applyNumberFormat="1" applyFont="1" applyFill="1"/>
    <xf numFmtId="0" fontId="0" fillId="9" borderId="0" xfId="0" applyFill="1"/>
    <xf numFmtId="166" fontId="2" fillId="9" borderId="5" xfId="2" applyNumberFormat="1" applyFont="1" applyFill="1" applyBorder="1"/>
    <xf numFmtId="44" fontId="2" fillId="9" borderId="0" xfId="2" applyFont="1" applyFill="1"/>
    <xf numFmtId="166" fontId="2" fillId="9" borderId="5" xfId="0" applyNumberFormat="1" applyFont="1" applyFill="1" applyBorder="1"/>
    <xf numFmtId="0" fontId="2" fillId="0" borderId="8" xfId="0" applyFont="1" applyBorder="1"/>
    <xf numFmtId="44" fontId="2" fillId="9" borderId="5" xfId="0" applyNumberFormat="1" applyFont="1" applyFill="1" applyBorder="1"/>
    <xf numFmtId="166" fontId="0" fillId="3" borderId="5" xfId="0" applyNumberFormat="1" applyFill="1" applyBorder="1"/>
    <xf numFmtId="166" fontId="0" fillId="3" borderId="5" xfId="2" applyNumberFormat="1" applyFont="1" applyFill="1" applyBorder="1"/>
    <xf numFmtId="0" fontId="2" fillId="10" borderId="0" xfId="0" applyFont="1" applyFill="1" applyAlignment="1">
      <alignment wrapText="1"/>
    </xf>
    <xf numFmtId="44" fontId="0" fillId="0" borderId="0" xfId="2" quotePrefix="1" applyFont="1"/>
    <xf numFmtId="0" fontId="3" fillId="0" borderId="0" xfId="0" applyFont="1"/>
    <xf numFmtId="44" fontId="3" fillId="0" borderId="0" xfId="0" applyNumberFormat="1" applyFont="1"/>
    <xf numFmtId="0" fontId="4" fillId="0" borderId="0" xfId="0" applyFont="1"/>
    <xf numFmtId="166" fontId="3" fillId="0" borderId="0" xfId="2" applyNumberFormat="1" applyFont="1"/>
    <xf numFmtId="166" fontId="3" fillId="0" borderId="0" xfId="0" applyNumberFormat="1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ue Maxwell" id="{D6A2E0FF-4A03-F746-97D9-AA6EFADFDF9D}" userId="Sue Maxwell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0" dT="2026-03-10T01:50:59.74" personId="{D6A2E0FF-4A03-F746-97D9-AA6EFADFDF9D}" id="{0A74150F-5278-244B-B0E9-B185AD217541}">
    <text>VSTS is Vancouver South Transfer Station, VLF is Vancouver Landfill</text>
  </threadedComment>
  <threadedComment ref="E50" dT="2026-03-10T00:45:36.80" personId="{D6A2E0FF-4A03-F746-97D9-AA6EFADFDF9D}" id="{D46A020A-C7D1-A04B-8A3E-280DBD537B03}">
    <text>actual in spreadsheet is 1193880 due to averaging</text>
  </threadedComment>
  <threadedComment ref="H50" dT="2026-03-10T00:45:36.80" personId="{D6A2E0FF-4A03-F746-97D9-AA6EFADFDF9D}" id="{86DA9847-9F48-AD46-BDC2-94A05842A9DB}">
    <text>actual in spreadsheet is 1193880 due to averaging</text>
  </threadedComment>
  <threadedComment ref="K50" dT="2026-03-10T00:45:36.80" personId="{D6A2E0FF-4A03-F746-97D9-AA6EFADFDF9D}" id="{89107F4C-8AF1-FA45-9BB5-CF2B9B6BA249}">
    <text>actual in spreadsheet is 1193880 due to averaging</text>
  </threadedComment>
  <threadedComment ref="N50" dT="2026-03-10T00:45:36.80" personId="{D6A2E0FF-4A03-F746-97D9-AA6EFADFDF9D}" id="{5FE2B4AF-662D-5B4E-8E98-90AB905C4522}">
    <text>actual in spreadsheet is 1193880 due to averaging</text>
  </threadedComment>
  <threadedComment ref="E51" dT="2026-03-10T00:45:36.80" personId="{D6A2E0FF-4A03-F746-97D9-AA6EFADFDF9D}" id="{B13ACDBD-BD4D-D64A-860F-068EC3991832}">
    <text>actual in spreadsheet is 7778868 due to averaging</text>
  </threadedComment>
  <threadedComment ref="H51" dT="2026-03-10T00:45:36.80" personId="{D6A2E0FF-4A03-F746-97D9-AA6EFADFDF9D}" id="{BD8F7DDB-4F29-C443-B2C4-19BE216E381C}">
    <text>actual in spreadsheet is 7778868 due to averaging</text>
  </threadedComment>
  <threadedComment ref="K51" dT="2026-03-10T00:45:36.80" personId="{D6A2E0FF-4A03-F746-97D9-AA6EFADFDF9D}" id="{089649D4-E501-2B43-AB66-4D1EDF7D0975}">
    <text>actual in spreadsheet is 7778868 due to averaging</text>
  </threadedComment>
  <threadedComment ref="N51" dT="2026-03-10T00:45:36.80" personId="{D6A2E0FF-4A03-F746-97D9-AA6EFADFDF9D}" id="{8E8A0286-D50C-8441-B3A2-B5DBDE138860}">
    <text>actual in spreadsheet is 7778868 due to averaging</text>
  </threadedComment>
  <threadedComment ref="E53" dT="2026-03-10T00:53:10.51" personId="{D6A2E0FF-4A03-F746-97D9-AA6EFADFDF9D}" id="{C7917CEC-1035-4F4B-8C95-DCB766B03417}">
    <text>62.5% of 277,997 based on $37012103/$59264005</text>
  </threadedComment>
  <threadedComment ref="H53" dT="2026-03-10T00:53:10.51" personId="{D6A2E0FF-4A03-F746-97D9-AA6EFADFDF9D}" id="{CA3802AD-49CA-8249-914F-7AA56B32221D}">
    <text>62.5% of 277,997 based on $37012103/$59264005</text>
  </threadedComment>
  <threadedComment ref="K53" dT="2026-03-10T00:53:10.51" personId="{D6A2E0FF-4A03-F746-97D9-AA6EFADFDF9D}" id="{D3A2F921-B4E9-EF46-844D-70C9C4EDEF94}">
    <text>62.5% of 277,997 based on $37012103/$59264005</text>
  </threadedComment>
  <threadedComment ref="N53" dT="2026-03-10T00:53:10.51" personId="{D6A2E0FF-4A03-F746-97D9-AA6EFADFDF9D}" id="{50A39540-46F8-DA44-9D26-904B2A2274AA}">
    <text>62.5% of 277,997 based on $37012103/$59264005</text>
  </threadedComment>
  <threadedComment ref="D54" dT="2026-03-10T00:57:22.42" personId="{D6A2E0FF-4A03-F746-97D9-AA6EFADFDF9D}" id="{F087726C-5235-8045-887B-3BD2094A73ED}">
    <text>seems to be waste to VLF (557k) not inc Delta/VAn direct haul minus bottom ash</text>
  </threadedComment>
  <threadedComment ref="G54" dT="2026-03-10T00:57:22.42" personId="{D6A2E0FF-4A03-F746-97D9-AA6EFADFDF9D}" id="{45ECDFF8-C292-454F-88D7-262500082FFD}">
    <text>seems to be waste to VLF (557k) not inc Delta/VAn direct haul minus bottom ash</text>
  </threadedComment>
  <threadedComment ref="J54" dT="2026-03-10T00:57:22.42" personId="{D6A2E0FF-4A03-F746-97D9-AA6EFADFDF9D}" id="{9F34C136-B7DD-7D44-A2C3-6E8A6A519947}">
    <text>seems to be waste to VLF (557k) not inc Delta/VAn direct haul minus bottom ash</text>
  </threadedComment>
  <threadedComment ref="M54" dT="2026-03-10T00:57:22.42" personId="{D6A2E0FF-4A03-F746-97D9-AA6EFADFDF9D}" id="{605FF053-0FF1-D44B-B957-E109DD7DD101}">
    <text>seems to be waste to VLF (557k) not inc Delta/VAn direct haul minus bottom ash</text>
  </threadedComment>
  <threadedComment ref="C63" dT="2026-03-10T01:31:31.63" personId="{D6A2E0FF-4A03-F746-97D9-AA6EFADFDF9D}" id="{6A03C75E-6600-2C4D-A0E0-EBEAD9845DB7}">
    <text>matches</text>
  </threadedComment>
  <threadedComment ref="D63" dT="2026-03-10T01:29:59.85" personId="{D6A2E0FF-4A03-F746-97D9-AA6EFADFDF9D}" id="{348541D3-A528-754A-AE65-1E421788FAE7}">
    <text>unclear source -perhaps line 31 total VLF minus bottom ash?</text>
  </threadedComment>
  <threadedComment ref="F63" dT="2026-03-10T01:31:31.63" personId="{D6A2E0FF-4A03-F746-97D9-AA6EFADFDF9D}" id="{26EC5111-B96E-A64D-AE00-4020F7BBC6ED}">
    <text>matches</text>
  </threadedComment>
  <threadedComment ref="G63" dT="2026-03-10T01:29:59.85" personId="{D6A2E0FF-4A03-F746-97D9-AA6EFADFDF9D}" id="{7BD713A6-0A9E-6742-9FE0-6027DEFA9559}">
    <text>unclear source -perhaps line 31 total VLF minus bottom ash?</text>
  </threadedComment>
  <threadedComment ref="I63" dT="2026-03-10T01:31:31.63" personId="{D6A2E0FF-4A03-F746-97D9-AA6EFADFDF9D}" id="{D38F5404-0F8B-0F49-AEE6-912EA4725FD5}">
    <text>matches</text>
  </threadedComment>
  <threadedComment ref="J63" dT="2026-03-10T01:29:59.85" personId="{D6A2E0FF-4A03-F746-97D9-AA6EFADFDF9D}" id="{B3BF67CE-BA6C-E74B-B9CD-C9EA8C3549E9}">
    <text>unclear source -perhaps line 31 total VLF minus bottom ash?</text>
  </threadedComment>
  <threadedComment ref="L63" dT="2026-03-10T01:31:31.63" personId="{D6A2E0FF-4A03-F746-97D9-AA6EFADFDF9D}" id="{F89E1B95-8698-F14B-B1BB-E40843686ADF}">
    <text>matches</text>
  </threadedComment>
  <threadedComment ref="M63" dT="2026-03-10T01:29:59.85" personId="{D6A2E0FF-4A03-F746-97D9-AA6EFADFDF9D}" id="{9A3F3FE8-29DB-5F4B-A39C-66AD1DB98D21}">
    <text>unclear source -perhaps line 31 total VLF minus bottom ash?</text>
  </threadedComment>
  <threadedComment ref="E67" dT="2026-03-10T23:13:19.01" personId="{D6A2E0FF-4A03-F746-97D9-AA6EFADFDF9D}" id="{2E596004-6AEB-E242-8640-E8460468B0C2}">
    <text>was not subtracted in draft version</text>
  </threadedComment>
  <threadedComment ref="H67" dT="2026-03-10T23:13:19.01" personId="{D6A2E0FF-4A03-F746-97D9-AA6EFADFDF9D}" id="{68647F84-46D7-7642-83F2-2A4822158AA2}">
    <text>was not subtracted in draft version</text>
  </threadedComment>
  <threadedComment ref="K67" dT="2026-03-10T23:13:19.01" personId="{D6A2E0FF-4A03-F746-97D9-AA6EFADFDF9D}" id="{FDDC2009-6CCD-DB4B-AE1C-37104B13463A}">
    <text>was not subtracted in draft version</text>
  </threadedComment>
  <threadedComment ref="N67" dT="2026-03-10T23:13:19.01" personId="{D6A2E0FF-4A03-F746-97D9-AA6EFADFDF9D}" id="{64CBB9C4-5316-2A4E-A57D-76C24C3911E8}">
    <text>was not subtracted in draft version</text>
  </threadedComment>
  <threadedComment ref="E69" dT="2026-03-10T01:39:47.51" personId="{D6A2E0FF-4A03-F746-97D9-AA6EFADFDF9D}" id="{3BB3BB5E-B349-DA4C-9216-30FD7DCC86AF}">
    <text>close to equalling hauling costs lines 50-52 ($1752 off)</text>
  </threadedComment>
  <threadedComment ref="H69" dT="2026-03-10T01:39:47.51" personId="{D6A2E0FF-4A03-F746-97D9-AA6EFADFDF9D}" id="{B01B3B27-D964-9441-9291-3B7FFE354899}">
    <text>close to equalling hauling costs lines 50-52 ($1752 off)</text>
  </threadedComment>
  <threadedComment ref="K69" dT="2026-03-10T01:39:47.51" personId="{D6A2E0FF-4A03-F746-97D9-AA6EFADFDF9D}" id="{21246672-8A62-954F-9D95-744F8F2A4E3C}">
    <text>close to equalling hauling costs lines 50-52 ($1752 off)</text>
  </threadedComment>
  <threadedComment ref="N69" dT="2026-03-10T01:39:47.51" personId="{D6A2E0FF-4A03-F746-97D9-AA6EFADFDF9D}" id="{F300E67F-4A4C-CF4D-A299-73FB01694977}">
    <text>close to equalling hauling costs lines 50-52 ($1752 off)</text>
  </threadedComment>
  <threadedComment ref="E70" dT="2026-03-10T01:40:39.09" personId="{D6A2E0FF-4A03-F746-97D9-AA6EFADFDF9D}" id="{A01D4490-FAE8-B740-B877-7DEE44DA4340}">
    <text>unclear why this is subtracted</text>
  </threadedComment>
  <threadedComment ref="E70" dT="2026-03-10T23:12:32.15" personId="{D6A2E0FF-4A03-F746-97D9-AA6EFADFDF9D}" id="{204A9295-67CC-FC42-99A5-02CEA339E7F2}" parentId="{A01D4490-FAE8-B740-B877-7DEE44DA4340}">
    <text>and it was not in draft version</text>
  </threadedComment>
  <threadedComment ref="H70" dT="2026-03-10T01:40:39.09" personId="{D6A2E0FF-4A03-F746-97D9-AA6EFADFDF9D}" id="{671D74F9-B54D-4D41-899F-7DB2399642B0}">
    <text>unclear why this is subtracted</text>
  </threadedComment>
  <threadedComment ref="H70" dT="2026-03-10T23:12:32.15" personId="{D6A2E0FF-4A03-F746-97D9-AA6EFADFDF9D}" id="{ED3162E5-AE93-2648-8C25-7104A985FBDA}" parentId="{671D74F9-B54D-4D41-899F-7DB2399642B0}">
    <text>and it was not in draft version</text>
  </threadedComment>
  <threadedComment ref="K70" dT="2026-03-10T01:40:39.09" personId="{D6A2E0FF-4A03-F746-97D9-AA6EFADFDF9D}" id="{D7CE6469-2943-9448-B561-754A8C67BBF9}">
    <text>unclear why this is subtracted</text>
  </threadedComment>
  <threadedComment ref="K70" dT="2026-03-10T23:12:32.15" personId="{D6A2E0FF-4A03-F746-97D9-AA6EFADFDF9D}" id="{8A1766C4-E37E-6B43-8A62-62A29967036D}" parentId="{D7CE6469-2943-9448-B561-754A8C67BBF9}">
    <text>and it was not in draft version</text>
  </threadedComment>
  <threadedComment ref="N70" dT="2026-03-10T01:40:39.09" personId="{D6A2E0FF-4A03-F746-97D9-AA6EFADFDF9D}" id="{274ACC1D-192B-A242-A357-B77EA4D869AC}">
    <text>unclear why this is subtracted</text>
  </threadedComment>
  <threadedComment ref="N70" dT="2026-03-10T23:12:32.15" personId="{D6A2E0FF-4A03-F746-97D9-AA6EFADFDF9D}" id="{1565D715-E7FE-824F-94E2-E385A7E6270E}" parentId="{274ACC1D-192B-A242-A357-B77EA4D869AC}">
    <text>and it was not in draft version</text>
  </threadedComment>
  <threadedComment ref="E75" dT="2026-03-10T01:49:30.76" personId="{D6A2E0FF-4A03-F746-97D9-AA6EFADFDF9D}" id="{A90508FC-B59A-D94C-A923-DF859EE18553}">
    <text>R&amp;WC debt share is 65.6% (8176463/12465602) with note that actual 2024 debt share was $10,637,452.</text>
  </threadedComment>
  <threadedComment ref="H75" dT="2026-03-10T01:49:30.76" personId="{D6A2E0FF-4A03-F746-97D9-AA6EFADFDF9D}" id="{8F3BF28E-0F87-B246-B443-493B11E5C3D1}">
    <text>R&amp;WC debt share is 65.6% (8176463/12465602) with note that actual 2024 debt share was $10,637,452.</text>
  </threadedComment>
  <threadedComment ref="K75" dT="2026-03-10T01:49:30.76" personId="{D6A2E0FF-4A03-F746-97D9-AA6EFADFDF9D}" id="{D3B99C77-B3D0-DF41-B557-522C0CC0C364}">
    <text>R&amp;WC debt share is 65.6% (8176463/12465602) with note that actual 2024 debt share was $10,637,452.</text>
  </threadedComment>
  <threadedComment ref="N75" dT="2026-03-10T01:49:30.76" personId="{D6A2E0FF-4A03-F746-97D9-AA6EFADFDF9D}" id="{F1818F2F-A10B-714A-9C1F-9D8001AD7193}">
    <text>R&amp;WC debt share is 65.6% (8176463/12465602) with note that actual 2024 debt share was $10,637,452.</text>
  </threadedComment>
  <threadedComment ref="A90" dT="2026-03-10T02:02:42.95" personId="{D6A2E0FF-4A03-F746-97D9-AA6EFADFDF9D}" id="{A4F46F0F-EFDA-5A49-AFE7-E8BF95F68A96}">
    <text>$295-$153 for regular waste</text>
  </threadedComment>
  <threadedComment ref="E92" dT="2026-03-10T02:18:30.34" personId="{D6A2E0FF-4A03-F746-97D9-AA6EFADFDF9D}" id="{FEA6F600-AF4C-704A-BCC6-938BA2BA3CBD}">
    <text xml:space="preserve">WTEF debt share is 25.3% (3151298/12465602) with note that actual 2024 debt share was $10,637,452.
</text>
  </threadedComment>
  <threadedComment ref="H92" dT="2026-03-10T02:18:30.34" personId="{D6A2E0FF-4A03-F746-97D9-AA6EFADFDF9D}" id="{B2B0E68E-6F92-4D43-B9D9-E4E4751662E8}">
    <text xml:space="preserve">WTEF debt share is 25.3% (3151298/12465602) with note that actual 2024 debt share was $10,637,452.
</text>
  </threadedComment>
  <threadedComment ref="K92" dT="2026-03-10T02:18:30.34" personId="{D6A2E0FF-4A03-F746-97D9-AA6EFADFDF9D}" id="{83076D3D-F65E-454A-98FA-5DB1D0A3AFC5}">
    <text xml:space="preserve">WTEF debt share is 25.3% (3151298/12465602) with note that actual 2024 debt share was $10,637,452.
</text>
  </threadedComment>
  <threadedComment ref="N92" dT="2026-03-10T02:18:30.34" personId="{D6A2E0FF-4A03-F746-97D9-AA6EFADFDF9D}" id="{3DFB9B19-B4F9-8642-9292-57A11A7532B7}">
    <text xml:space="preserve">WTEF debt share is 25.3% (3151298/12465602) with note that actual 2024 debt share was $10,637,452.
</text>
  </threadedComment>
  <threadedComment ref="C113" dT="2026-03-10T23:16:38.02" personId="{D6A2E0FF-4A03-F746-97D9-AA6EFADFDF9D}" id="{8F8D741E-7CC2-D74D-8918-EB78FB431F7D}">
    <text>one version had $15</text>
  </threadedComment>
  <threadedComment ref="F113" dT="2026-03-10T23:16:38.02" personId="{D6A2E0FF-4A03-F746-97D9-AA6EFADFDF9D}" id="{2E3F6306-5470-D24B-8D70-55EF2BB01208}">
    <text>one version had $15</text>
  </threadedComment>
  <threadedComment ref="I113" dT="2026-03-10T23:16:38.02" personId="{D6A2E0FF-4A03-F746-97D9-AA6EFADFDF9D}" id="{F8B43F71-02AE-C342-BF20-9525E35341EC}">
    <text>one version had $15</text>
  </threadedComment>
  <threadedComment ref="L113" dT="2026-03-10T23:16:38.02" personId="{D6A2E0FF-4A03-F746-97D9-AA6EFADFDF9D}" id="{7B3D8B83-3472-C844-B926-ED6463323FD2}">
    <text>one version had $15</text>
  </threadedComment>
  <threadedComment ref="N123" dT="2026-03-11T00:32:31.53" personId="{D6A2E0FF-4A03-F746-97D9-AA6EFADFDF9D}" id="{1EF4A7D1-E168-B04B-9FD5-D962142B2667}">
    <text xml:space="preserve">used $245M for 5 yrs to get cost
</text>
  </threadedComment>
  <threadedComment ref="C141" dT="2026-03-10T23:37:15.27" personId="{D6A2E0FF-4A03-F746-97D9-AA6EFADFDF9D}" id="{FC88D958-03EE-7F4D-95B6-5DE385547237}">
    <text>was in 2023 but not 2024</text>
  </threadedComment>
  <threadedComment ref="F141" dT="2026-03-10T23:37:15.27" personId="{D6A2E0FF-4A03-F746-97D9-AA6EFADFDF9D}" id="{D25F413C-26D7-6D4C-A623-529DF589F575}">
    <text>was in 2023 but not 2024</text>
  </threadedComment>
  <threadedComment ref="I141" dT="2026-03-10T23:37:15.27" personId="{D6A2E0FF-4A03-F746-97D9-AA6EFADFDF9D}" id="{7C4CDC14-2071-C946-B45E-0069103FA665}">
    <text>was in 2023 but not 2024</text>
  </threadedComment>
  <threadedComment ref="L141" dT="2026-03-10T23:37:15.27" personId="{D6A2E0FF-4A03-F746-97D9-AA6EFADFDF9D}" id="{37C16E26-6C2D-D840-A42B-73B25284987F}">
    <text>was in 2023 but not 2024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D2" dT="2026-03-10T00:21:36.15" personId="{D6A2E0FF-4A03-F746-97D9-AA6EFADFDF9D}" id="{43A79462-946F-824E-8201-DA9345C20BB8}">
    <text>assume this is just clean wood delivered to R&amp;WC -was 161,142 noted as clean wood recycling for whole region in 2022</text>
  </threadedComment>
  <threadedComment ref="H2" dT="2026-03-10T00:21:36.15" personId="{D6A2E0FF-4A03-F746-97D9-AA6EFADFDF9D}" id="{25C83DCF-3D20-EA40-9A30-CFDF6AC9CDD0}">
    <text>assume this is just clean wood delivered to R&amp;WC -was 161,142 noted as clean wood recycling for whole region in 2022</text>
  </threadedComment>
  <threadedComment ref="K2" dT="2026-03-10T00:21:36.15" personId="{D6A2E0FF-4A03-F746-97D9-AA6EFADFDF9D}" id="{6FD695B0-D331-D540-985C-48B5747421D0}">
    <text>assume this is just clean wood delivered to R&amp;WC -was 161,142 noted as clean wood recycling for whole region in 2022</text>
  </threadedComment>
  <threadedComment ref="D3" dT="2026-03-10T00:21:36.15" personId="{D6A2E0FF-4A03-F746-97D9-AA6EFADFDF9D}" id="{8EAACDA4-8719-2E43-A955-4ADE18732ED8}">
    <text>assume this is just clean wood delivered to R&amp;WC -was 161,142 noted as clean wood recycling for whole region in 2022</text>
  </threadedComment>
  <threadedComment ref="A10" dT="2026-03-10T01:50:59.74" personId="{D6A2E0FF-4A03-F746-97D9-AA6EFADFDF9D}" id="{880F5067-9241-AD4F-B290-3A16FC44AF9A}">
    <text>VSTS is Vancouver South Transfer Station, VLF is Vancouver Landfill</text>
  </threadedComment>
  <threadedComment ref="E49" dT="2026-03-10T01:33:20.50" personId="{D6A2E0FF-4A03-F746-97D9-AA6EFADFDF9D}" id="{D8CAC5A4-1D9D-6849-B83B-EF685A03556C}">
    <text>2024-2028 financial plan https://metrovancouver.org/about-us/Documents/financial-plan-proposed-2024-2028.pdf</text>
  </threadedComment>
  <threadedComment ref="D50" dT="2026-03-10T00:45:36.80" personId="{D6A2E0FF-4A03-F746-97D9-AA6EFADFDF9D}" id="{813D27AA-90DD-0343-9EF4-4EFB99DB1145}">
    <text>actual in spreadsheet is 1193880 due to averaging</text>
  </threadedComment>
  <threadedComment ref="D51" dT="2026-03-10T00:45:36.80" personId="{D6A2E0FF-4A03-F746-97D9-AA6EFADFDF9D}" id="{9F1F434D-D4CF-AD44-827F-9F6E59245A9C}">
    <text>actual in spreadsheet is 7778868 due to averaging</text>
  </threadedComment>
  <threadedComment ref="D53" dT="2026-03-10T00:53:10.51" personId="{D6A2E0FF-4A03-F746-97D9-AA6EFADFDF9D}" id="{AEFEF290-F142-6348-9F89-F89C27982F1E}">
    <text>62.5% of 277,997 based on $37012103/$59264005</text>
  </threadedComment>
  <threadedComment ref="C54" dT="2026-03-10T00:57:22.42" personId="{D6A2E0FF-4A03-F746-97D9-AA6EFADFDF9D}" id="{4EF2024E-33AE-1447-94D5-16A47214CF62}">
    <text>seems to be waste to VLF (557k) not inc Delta/VAn direct haul minus bottom ash</text>
  </threadedComment>
  <threadedComment ref="B63" dT="2026-03-10T01:31:31.63" personId="{D6A2E0FF-4A03-F746-97D9-AA6EFADFDF9D}" id="{719E71E4-873B-994F-ABC0-DC756B3D4AC3}">
    <text>matches</text>
  </threadedComment>
  <threadedComment ref="C63" dT="2026-03-10T01:29:59.85" personId="{D6A2E0FF-4A03-F746-97D9-AA6EFADFDF9D}" id="{8988B0BB-CE99-514F-BD60-955B763E31B6}">
    <text>unclear source -perhaps line 31 total VLF minus bottom ash?</text>
  </threadedComment>
  <threadedComment ref="D67" dT="2026-03-10T23:13:19.01" personId="{D6A2E0FF-4A03-F746-97D9-AA6EFADFDF9D}" id="{7EE705A9-74EF-D346-AA2B-5EC93C8AE2BA}">
    <text>was not subtracted in draft version</text>
  </threadedComment>
  <threadedComment ref="D69" dT="2026-03-10T01:39:47.51" personId="{D6A2E0FF-4A03-F746-97D9-AA6EFADFDF9D}" id="{82AF0F37-A1A3-8E40-A86B-1BEA0F4AB2A4}">
    <text>close to equalling hauling costs lines 50-52 ($1752 off)</text>
  </threadedComment>
  <threadedComment ref="D70" dT="2026-03-10T01:40:39.09" personId="{D6A2E0FF-4A03-F746-97D9-AA6EFADFDF9D}" id="{20AFCF70-402F-A049-9182-91047409796F}">
    <text>unclear why this is subtracted</text>
  </threadedComment>
  <threadedComment ref="D70" dT="2026-03-10T23:12:32.15" personId="{D6A2E0FF-4A03-F746-97D9-AA6EFADFDF9D}" id="{F3B3BC69-A1EF-6A46-AC6E-0063A232B6CE}" parentId="{20AFCF70-402F-A049-9182-91047409796F}">
    <text>and it was not in draft version</text>
  </threadedComment>
  <threadedComment ref="D75" dT="2026-03-10T01:49:30.76" personId="{D6A2E0FF-4A03-F746-97D9-AA6EFADFDF9D}" id="{681400DC-674B-4C4F-949C-8AD45C9EAE59}">
    <text>R&amp;WC debt share is 65.6% (8176463/12465602) with note that actual 2024 debt share was $10,637,452.</text>
  </threadedComment>
  <threadedComment ref="A90" dT="2026-03-10T02:02:42.95" personId="{D6A2E0FF-4A03-F746-97D9-AA6EFADFDF9D}" id="{7B52BC65-0D75-D04F-81A7-14DB090921AE}">
    <text>$295-$153 for regular waste</text>
  </threadedComment>
  <threadedComment ref="D92" dT="2026-03-10T02:18:30.34" personId="{D6A2E0FF-4A03-F746-97D9-AA6EFADFDF9D}" id="{B940B1D0-8954-A94E-BC4E-ED7F422FC7A0}">
    <text xml:space="preserve">WTEF debt share is 25.3% (3151298/12465602) with note that actual 2024 debt share was $10,637,452.
</text>
  </threadedComment>
  <threadedComment ref="B113" dT="2026-03-10T23:16:38.02" personId="{D6A2E0FF-4A03-F746-97D9-AA6EFADFDF9D}" id="{4BB1D6F6-B86C-ED47-8C0A-E2F73227CE62}">
    <text>one version had $15</text>
  </threadedComment>
  <threadedComment ref="D114" dT="2026-03-10T22:42:10.29" personId="{D6A2E0FF-4A03-F746-97D9-AA6EFADFDF9D}" id="{05844752-C5DF-074B-8498-D6AF056BB16F}">
    <text>equals B114*C110 but slightly off</text>
  </threadedComment>
  <threadedComment ref="H114" dT="2026-03-10T22:42:10.29" personId="{D6A2E0FF-4A03-F746-97D9-AA6EFADFDF9D}" id="{A0100551-9F6D-5F44-90A3-994CD5A87D9C}">
    <text>equals B114*C110 but slightly off</text>
  </threadedComment>
  <threadedComment ref="K114" dT="2026-03-10T22:42:10.29" personId="{D6A2E0FF-4A03-F746-97D9-AA6EFADFDF9D}" id="{99A7577B-4A05-514C-B1D7-E11C0640D7AB}">
    <text>equals B114*C110 but slightly off</text>
  </threadedComment>
  <threadedComment ref="B141" dT="2026-03-10T23:37:15.27" personId="{D6A2E0FF-4A03-F746-97D9-AA6EFADFDF9D}" id="{558DB81A-F74D-EB48-B7EB-0F8BF4D6629A}">
    <text>was in 2023 but not 2024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32865-036E-B548-8D1E-419994086DF6}">
  <dimension ref="A1:O142"/>
  <sheetViews>
    <sheetView tabSelected="1" workbookViewId="0">
      <pane xSplit="1" ySplit="2" topLeftCell="B107" activePane="bottomRight" state="frozen"/>
      <selection pane="topRight" activeCell="B1" sqref="B1"/>
      <selection pane="bottomLeft" activeCell="A3" sqref="A3"/>
      <selection pane="bottomRight" activeCell="A141" sqref="A141"/>
    </sheetView>
  </sheetViews>
  <sheetFormatPr baseColWidth="10" defaultRowHeight="16" x14ac:dyDescent="0.2"/>
  <cols>
    <col min="1" max="1" width="51.33203125" customWidth="1"/>
    <col min="2" max="2" width="14" style="31" customWidth="1"/>
    <col min="3" max="3" width="15.5" customWidth="1"/>
    <col min="4" max="4" width="11.5" customWidth="1"/>
    <col min="5" max="5" width="18.33203125" style="31" customWidth="1"/>
    <col min="6" max="7" width="15.5" customWidth="1"/>
    <col min="8" max="8" width="18.33203125" style="31" customWidth="1"/>
    <col min="9" max="9" width="15.5" customWidth="1"/>
    <col min="10" max="10" width="14" customWidth="1"/>
    <col min="11" max="11" width="18.33203125" style="31" customWidth="1"/>
    <col min="12" max="12" width="15.5" customWidth="1"/>
    <col min="13" max="13" width="13.83203125" customWidth="1"/>
    <col min="14" max="14" width="18.33203125" style="31" customWidth="1"/>
  </cols>
  <sheetData>
    <row r="1" spans="1:15" x14ac:dyDescent="0.2">
      <c r="C1" s="3" t="s">
        <v>145</v>
      </c>
      <c r="D1" s="3"/>
      <c r="E1" s="41"/>
      <c r="F1" s="50" t="s">
        <v>136</v>
      </c>
      <c r="G1" s="50"/>
      <c r="H1" s="50"/>
      <c r="I1" s="51" t="s">
        <v>137</v>
      </c>
      <c r="J1" s="51"/>
      <c r="K1" s="52"/>
      <c r="L1" s="53" t="s">
        <v>138</v>
      </c>
      <c r="M1" s="53"/>
      <c r="N1" s="54"/>
    </row>
    <row r="2" spans="1:15" s="2" customFormat="1" ht="35" thickBot="1" x14ac:dyDescent="0.25">
      <c r="A2" s="17" t="s">
        <v>2</v>
      </c>
      <c r="B2" s="32" t="s">
        <v>135</v>
      </c>
      <c r="C2" s="17" t="s">
        <v>3</v>
      </c>
      <c r="D2" s="17" t="s">
        <v>4</v>
      </c>
      <c r="E2" s="32" t="s">
        <v>139</v>
      </c>
      <c r="F2" s="17" t="s">
        <v>3</v>
      </c>
      <c r="G2" s="17" t="s">
        <v>4</v>
      </c>
      <c r="H2" s="32" t="s">
        <v>139</v>
      </c>
      <c r="I2" s="17" t="s">
        <v>3</v>
      </c>
      <c r="J2" s="17" t="s">
        <v>4</v>
      </c>
      <c r="K2" s="32" t="s">
        <v>139</v>
      </c>
      <c r="L2" s="17" t="s">
        <v>3</v>
      </c>
      <c r="M2" s="17" t="s">
        <v>4</v>
      </c>
      <c r="N2" s="32" t="s">
        <v>139</v>
      </c>
    </row>
    <row r="3" spans="1:15" s="2" customFormat="1" ht="35" hidden="1" thickTop="1" x14ac:dyDescent="0.2">
      <c r="A3" s="2" t="s">
        <v>47</v>
      </c>
      <c r="B3" s="33"/>
      <c r="E3" s="33"/>
      <c r="F3" s="55"/>
      <c r="G3" s="55"/>
      <c r="H3" s="56"/>
      <c r="I3" s="55"/>
      <c r="J3" s="55"/>
      <c r="K3" s="56"/>
      <c r="L3" s="55"/>
      <c r="M3" s="55"/>
      <c r="N3" s="56"/>
      <c r="O3" s="95" t="s">
        <v>140</v>
      </c>
    </row>
    <row r="4" spans="1:15" hidden="1" x14ac:dyDescent="0.2">
      <c r="A4" t="s">
        <v>14</v>
      </c>
      <c r="C4" s="6">
        <v>710999</v>
      </c>
      <c r="D4" s="5">
        <v>648005.01300000004</v>
      </c>
      <c r="E4" s="44">
        <f>C4-D4</f>
        <v>62993.986999999965</v>
      </c>
      <c r="F4" s="57">
        <v>710999</v>
      </c>
      <c r="G4" s="58">
        <v>648005.01300000004</v>
      </c>
      <c r="H4" s="59">
        <f>F4-G4</f>
        <v>62993.986999999965</v>
      </c>
      <c r="I4" s="57">
        <v>710999</v>
      </c>
      <c r="J4" s="58">
        <v>648005.01300000004</v>
      </c>
      <c r="K4" s="59">
        <f>I4-J4</f>
        <v>62993.986999999965</v>
      </c>
      <c r="L4" s="57">
        <v>710999</v>
      </c>
      <c r="M4" s="58">
        <v>648005.01300000004</v>
      </c>
      <c r="N4" s="59">
        <f>L4-M4</f>
        <v>62993.986999999965</v>
      </c>
    </row>
    <row r="5" spans="1:15" hidden="1" x14ac:dyDescent="0.2">
      <c r="A5" t="s">
        <v>15</v>
      </c>
      <c r="C5" s="6">
        <v>140705</v>
      </c>
      <c r="D5" s="5">
        <v>140704.84599999999</v>
      </c>
      <c r="E5" s="44"/>
      <c r="F5" s="57">
        <v>140705</v>
      </c>
      <c r="G5" s="58">
        <v>140704.84599999999</v>
      </c>
      <c r="H5" s="59"/>
      <c r="I5" s="57">
        <v>140705</v>
      </c>
      <c r="J5" s="58">
        <v>140704.84599999999</v>
      </c>
      <c r="K5" s="59"/>
      <c r="L5" s="57">
        <v>140705</v>
      </c>
      <c r="M5" s="58">
        <v>140704.84599999999</v>
      </c>
      <c r="N5" s="59"/>
    </row>
    <row r="6" spans="1:15" s="8" customFormat="1" hidden="1" x14ac:dyDescent="0.2">
      <c r="A6" s="8" t="s">
        <v>6</v>
      </c>
      <c r="B6" s="34"/>
      <c r="C6" s="9"/>
      <c r="D6" s="10">
        <f>SUM(D4:D5)</f>
        <v>788709.85900000005</v>
      </c>
      <c r="E6" s="45"/>
      <c r="F6" s="60"/>
      <c r="G6" s="61">
        <f>SUM(G4:G5)</f>
        <v>788709.85900000005</v>
      </c>
      <c r="H6" s="62"/>
      <c r="I6" s="60"/>
      <c r="J6" s="61">
        <f>SUM(J4:J5)</f>
        <v>788709.85900000005</v>
      </c>
      <c r="K6" s="62"/>
      <c r="L6" s="60"/>
      <c r="M6" s="61">
        <f>SUM(M4:M5)</f>
        <v>788709.85900000005</v>
      </c>
      <c r="N6" s="62"/>
    </row>
    <row r="7" spans="1:15" hidden="1" x14ac:dyDescent="0.2">
      <c r="A7" t="s">
        <v>13</v>
      </c>
      <c r="C7" s="6"/>
      <c r="D7" s="5">
        <v>18268.293000000001</v>
      </c>
      <c r="E7" s="44"/>
      <c r="F7" s="57"/>
      <c r="G7" s="58">
        <v>18268.293000000001</v>
      </c>
      <c r="H7" s="59"/>
      <c r="I7" s="57"/>
      <c r="J7" s="58">
        <v>18268.293000000001</v>
      </c>
      <c r="K7" s="59"/>
      <c r="L7" s="57"/>
      <c r="M7" s="58">
        <v>18268.293000000001</v>
      </c>
      <c r="N7" s="59"/>
    </row>
    <row r="8" spans="1:15" s="1" customFormat="1" hidden="1" x14ac:dyDescent="0.2">
      <c r="A8" s="1" t="s">
        <v>7</v>
      </c>
      <c r="B8" s="36"/>
      <c r="C8" s="7"/>
      <c r="D8" s="11">
        <f>D7+D5</f>
        <v>158973.139</v>
      </c>
      <c r="E8" s="46"/>
      <c r="F8" s="63"/>
      <c r="G8" s="64">
        <f>G7+G5</f>
        <v>158973.139</v>
      </c>
      <c r="H8" s="65"/>
      <c r="I8" s="63"/>
      <c r="J8" s="64">
        <f>J7+J5</f>
        <v>158973.139</v>
      </c>
      <c r="K8" s="65"/>
      <c r="L8" s="63"/>
      <c r="M8" s="64">
        <f>M7+M5</f>
        <v>158973.139</v>
      </c>
      <c r="N8" s="65"/>
    </row>
    <row r="9" spans="1:15" hidden="1" x14ac:dyDescent="0.2">
      <c r="A9" s="1" t="s">
        <v>6</v>
      </c>
      <c r="B9" s="36"/>
      <c r="C9" s="7"/>
      <c r="D9" s="11">
        <f>D6+D7</f>
        <v>806978.152</v>
      </c>
      <c r="E9" s="44"/>
      <c r="F9" s="63"/>
      <c r="G9" s="64">
        <f>G6+G7</f>
        <v>806978.152</v>
      </c>
      <c r="H9" s="59"/>
      <c r="I9" s="63"/>
      <c r="J9" s="64">
        <f>J6+J7</f>
        <v>806978.152</v>
      </c>
      <c r="K9" s="59"/>
      <c r="L9" s="63"/>
      <c r="M9" s="64">
        <f>M6+M7</f>
        <v>806978.152</v>
      </c>
      <c r="N9" s="59"/>
    </row>
    <row r="10" spans="1:15" hidden="1" x14ac:dyDescent="0.2">
      <c r="A10" t="s">
        <v>16</v>
      </c>
      <c r="C10" s="6"/>
      <c r="D10" s="5">
        <v>42701.83</v>
      </c>
      <c r="E10" s="44"/>
      <c r="F10" s="57"/>
      <c r="G10" s="58">
        <v>42701.83</v>
      </c>
      <c r="H10" s="59"/>
      <c r="I10" s="57"/>
      <c r="J10" s="58">
        <v>42701.83</v>
      </c>
      <c r="K10" s="59"/>
      <c r="L10" s="57"/>
      <c r="M10" s="58">
        <v>42701.83</v>
      </c>
      <c r="N10" s="59"/>
    </row>
    <row r="11" spans="1:15" hidden="1" x14ac:dyDescent="0.2">
      <c r="A11" t="s">
        <v>17</v>
      </c>
      <c r="C11" s="6"/>
      <c r="D11" s="5">
        <v>61133.59</v>
      </c>
      <c r="E11" s="44"/>
      <c r="F11" s="57"/>
      <c r="G11" s="58">
        <v>61133.59</v>
      </c>
      <c r="H11" s="59"/>
      <c r="I11" s="57"/>
      <c r="J11" s="58">
        <v>61133.59</v>
      </c>
      <c r="K11" s="59"/>
      <c r="L11" s="57"/>
      <c r="M11" s="58">
        <v>61133.59</v>
      </c>
      <c r="N11" s="59"/>
    </row>
    <row r="12" spans="1:15" hidden="1" x14ac:dyDescent="0.2">
      <c r="A12" s="1" t="s">
        <v>26</v>
      </c>
      <c r="B12" s="36"/>
      <c r="C12" s="6"/>
      <c r="D12" s="11">
        <f>D11+D10</f>
        <v>103835.42</v>
      </c>
      <c r="E12" s="44"/>
      <c r="F12" s="57"/>
      <c r="G12" s="64">
        <f>G11+G10</f>
        <v>103835.42</v>
      </c>
      <c r="H12" s="59"/>
      <c r="I12" s="57"/>
      <c r="J12" s="64">
        <f>J11+J10</f>
        <v>103835.42</v>
      </c>
      <c r="K12" s="59"/>
      <c r="L12" s="57"/>
      <c r="M12" s="64">
        <f>M11+M10</f>
        <v>103835.42</v>
      </c>
      <c r="N12" s="59"/>
    </row>
    <row r="13" spans="1:15" hidden="1" x14ac:dyDescent="0.2">
      <c r="A13" s="1" t="s">
        <v>6</v>
      </c>
      <c r="B13" s="36"/>
      <c r="C13" s="6"/>
      <c r="D13" s="11">
        <f>D9+D12</f>
        <v>910813.57200000004</v>
      </c>
      <c r="E13" s="44"/>
      <c r="F13" s="57"/>
      <c r="G13" s="64">
        <f>G9+G12</f>
        <v>910813.57200000004</v>
      </c>
      <c r="H13" s="59"/>
      <c r="I13" s="57"/>
      <c r="J13" s="64">
        <f>J9+J12</f>
        <v>910813.57200000004</v>
      </c>
      <c r="K13" s="59"/>
      <c r="L13" s="57"/>
      <c r="M13" s="64">
        <f>M9+M12</f>
        <v>910813.57200000004</v>
      </c>
      <c r="N13" s="59"/>
    </row>
    <row r="14" spans="1:15" hidden="1" x14ac:dyDescent="0.2">
      <c r="A14" t="s">
        <v>18</v>
      </c>
      <c r="C14" s="6"/>
      <c r="D14" s="5">
        <v>97311.718999999997</v>
      </c>
      <c r="E14" s="44"/>
      <c r="F14" s="57"/>
      <c r="G14" s="58">
        <v>97311.718999999997</v>
      </c>
      <c r="H14" s="59"/>
      <c r="I14" s="57"/>
      <c r="J14" s="58">
        <v>97311.718999999997</v>
      </c>
      <c r="K14" s="59"/>
      <c r="L14" s="57"/>
      <c r="M14" s="58">
        <v>97311.718999999997</v>
      </c>
      <c r="N14" s="59"/>
    </row>
    <row r="15" spans="1:15" hidden="1" x14ac:dyDescent="0.2">
      <c r="A15" t="s">
        <v>9</v>
      </c>
      <c r="C15" s="6"/>
      <c r="D15" s="5">
        <v>59384.959999999999</v>
      </c>
      <c r="E15" s="44"/>
      <c r="F15" s="57"/>
      <c r="G15" s="58">
        <v>59384.959999999999</v>
      </c>
      <c r="H15" s="59"/>
      <c r="I15" s="57"/>
      <c r="J15" s="58">
        <v>59384.959999999999</v>
      </c>
      <c r="K15" s="59"/>
      <c r="L15" s="57"/>
      <c r="M15" s="58">
        <v>59384.959999999999</v>
      </c>
      <c r="N15" s="59"/>
    </row>
    <row r="16" spans="1:15" hidden="1" x14ac:dyDescent="0.2">
      <c r="A16" s="1" t="s">
        <v>10</v>
      </c>
      <c r="B16" s="36"/>
      <c r="C16" s="7"/>
      <c r="D16" s="11">
        <f>SUM(D14:D15)</f>
        <v>156696.679</v>
      </c>
      <c r="E16" s="44"/>
      <c r="F16" s="63"/>
      <c r="G16" s="64">
        <f>SUM(G14:G15)</f>
        <v>156696.679</v>
      </c>
      <c r="H16" s="59"/>
      <c r="I16" s="63"/>
      <c r="J16" s="64">
        <f>SUM(J14:J15)</f>
        <v>156696.679</v>
      </c>
      <c r="K16" s="59"/>
      <c r="L16" s="63"/>
      <c r="M16" s="64">
        <f>SUM(M14:M15)</f>
        <v>156696.679</v>
      </c>
      <c r="N16" s="59"/>
    </row>
    <row r="17" spans="1:14" hidden="1" x14ac:dyDescent="0.2">
      <c r="A17" t="s">
        <v>19</v>
      </c>
      <c r="C17" s="6"/>
      <c r="D17" s="5">
        <v>67005.671000000002</v>
      </c>
      <c r="E17" s="44"/>
      <c r="F17" s="57"/>
      <c r="G17" s="58">
        <v>67005.671000000002</v>
      </c>
      <c r="H17" s="59"/>
      <c r="I17" s="57"/>
      <c r="J17" s="58">
        <v>67005.671000000002</v>
      </c>
      <c r="K17" s="59"/>
      <c r="L17" s="57"/>
      <c r="M17" s="58">
        <v>67005.671000000002</v>
      </c>
      <c r="N17" s="59"/>
    </row>
    <row r="18" spans="1:14" hidden="1" x14ac:dyDescent="0.2">
      <c r="A18" s="1" t="s">
        <v>11</v>
      </c>
      <c r="B18" s="36"/>
      <c r="C18" s="6"/>
      <c r="D18" s="14">
        <f>D15+D14+D10+D11</f>
        <v>260532.09900000002</v>
      </c>
      <c r="E18" s="44"/>
      <c r="F18" s="57"/>
      <c r="G18" s="66">
        <f>G15+G14+G10+G11</f>
        <v>260532.09900000002</v>
      </c>
      <c r="H18" s="59"/>
      <c r="I18" s="57"/>
      <c r="J18" s="66">
        <f>J15+J14+J10+J11</f>
        <v>260532.09900000002</v>
      </c>
      <c r="K18" s="59"/>
      <c r="L18" s="57"/>
      <c r="M18" s="66">
        <f>M15+M14+M10+M11</f>
        <v>260532.09900000002</v>
      </c>
      <c r="N18" s="59"/>
    </row>
    <row r="19" spans="1:14" hidden="1" x14ac:dyDescent="0.2">
      <c r="A19" s="1" t="s">
        <v>20</v>
      </c>
      <c r="B19" s="36"/>
      <c r="C19" s="7">
        <f>D19+E4</f>
        <v>1197509.9090000002</v>
      </c>
      <c r="D19" s="11">
        <f>+D13+D16+D17</f>
        <v>1134515.9220000003</v>
      </c>
      <c r="E19" s="46">
        <f>E4</f>
        <v>62993.986999999965</v>
      </c>
      <c r="F19" s="63">
        <f>G19+H4</f>
        <v>1197509.9090000002</v>
      </c>
      <c r="G19" s="64">
        <f>+G13+G16+G17</f>
        <v>1134515.9220000003</v>
      </c>
      <c r="H19" s="65">
        <f>H4</f>
        <v>62993.986999999965</v>
      </c>
      <c r="I19" s="63">
        <f>J19+K4</f>
        <v>1197509.9090000002</v>
      </c>
      <c r="J19" s="64">
        <f>+J13+J16+J17</f>
        <v>1134515.9220000003</v>
      </c>
      <c r="K19" s="65">
        <f>K4</f>
        <v>62993.986999999965</v>
      </c>
      <c r="L19" s="63">
        <f>M19+N4</f>
        <v>1197509.9090000002</v>
      </c>
      <c r="M19" s="64">
        <f>+M13+M16+M17</f>
        <v>1134515.9220000003</v>
      </c>
      <c r="N19" s="65">
        <f>N4</f>
        <v>62993.986999999965</v>
      </c>
    </row>
    <row r="20" spans="1:14" hidden="1" x14ac:dyDescent="0.2">
      <c r="C20" s="6"/>
      <c r="D20" s="6"/>
      <c r="E20" s="44"/>
      <c r="F20" s="57"/>
      <c r="G20" s="57"/>
      <c r="H20" s="59"/>
      <c r="I20" s="57"/>
      <c r="J20" s="57"/>
      <c r="K20" s="59"/>
      <c r="L20" s="57"/>
      <c r="M20" s="57"/>
      <c r="N20" s="59"/>
    </row>
    <row r="21" spans="1:14" ht="17" hidden="1" thickBot="1" x14ac:dyDescent="0.25">
      <c r="A21" s="16"/>
      <c r="B21" s="37"/>
      <c r="C21" s="16"/>
      <c r="D21" s="16"/>
      <c r="E21" s="37"/>
      <c r="F21" s="67"/>
      <c r="G21" s="67"/>
      <c r="H21" s="68"/>
      <c r="I21" s="67"/>
      <c r="J21" s="67"/>
      <c r="K21" s="68"/>
      <c r="L21" s="67"/>
      <c r="M21" s="67"/>
      <c r="N21" s="68"/>
    </row>
    <row r="22" spans="1:14" s="15" customFormat="1" ht="17" hidden="1" thickTop="1" x14ac:dyDescent="0.2">
      <c r="A22" s="1" t="s">
        <v>12</v>
      </c>
      <c r="B22" s="36"/>
      <c r="C22"/>
      <c r="D22"/>
      <c r="E22" s="31"/>
      <c r="F22" s="69"/>
      <c r="G22" s="69"/>
      <c r="H22" s="70"/>
      <c r="I22" s="69"/>
      <c r="J22" s="69"/>
      <c r="K22" s="70"/>
      <c r="L22" s="69"/>
      <c r="M22" s="69"/>
      <c r="N22" s="70"/>
    </row>
    <row r="23" spans="1:14" hidden="1" x14ac:dyDescent="0.2">
      <c r="A23" s="1" t="s">
        <v>21</v>
      </c>
      <c r="B23" s="36"/>
      <c r="F23" s="69"/>
      <c r="G23" s="69"/>
      <c r="H23" s="70"/>
      <c r="I23" s="69"/>
      <c r="J23" s="69"/>
      <c r="K23" s="70"/>
      <c r="L23" s="69"/>
      <c r="M23" s="69"/>
      <c r="N23" s="70"/>
    </row>
    <row r="24" spans="1:14" hidden="1" x14ac:dyDescent="0.2">
      <c r="A24" t="s">
        <v>22</v>
      </c>
      <c r="D24" s="13">
        <f>D10</f>
        <v>42701.83</v>
      </c>
      <c r="F24" s="69"/>
      <c r="G24" s="71">
        <f>G10</f>
        <v>42701.83</v>
      </c>
      <c r="H24" s="70"/>
      <c r="I24" s="69"/>
      <c r="J24" s="71">
        <f>J10</f>
        <v>42701.83</v>
      </c>
      <c r="K24" s="70"/>
      <c r="L24" s="69"/>
      <c r="M24" s="71">
        <f>M10</f>
        <v>42701.83</v>
      </c>
      <c r="N24" s="70"/>
    </row>
    <row r="25" spans="1:14" hidden="1" x14ac:dyDescent="0.2">
      <c r="A25" t="s">
        <v>23</v>
      </c>
      <c r="D25" s="13">
        <f>D11</f>
        <v>61133.59</v>
      </c>
      <c r="F25" s="69"/>
      <c r="G25" s="71">
        <f>G11</f>
        <v>61133.59</v>
      </c>
      <c r="H25" s="70"/>
      <c r="I25" s="69"/>
      <c r="J25" s="71">
        <f>J11</f>
        <v>61133.59</v>
      </c>
      <c r="K25" s="70"/>
      <c r="L25" s="69"/>
      <c r="M25" s="71">
        <f>M11</f>
        <v>61133.59</v>
      </c>
      <c r="N25" s="70"/>
    </row>
    <row r="26" spans="1:14" hidden="1" x14ac:dyDescent="0.2">
      <c r="A26" t="s">
        <v>24</v>
      </c>
      <c r="D26" s="13">
        <v>405659.62599999999</v>
      </c>
      <c r="F26" s="69"/>
      <c r="G26" s="71">
        <v>405659.62599999999</v>
      </c>
      <c r="H26" s="70"/>
      <c r="I26" s="69"/>
      <c r="J26" s="71">
        <v>405659.62599999999</v>
      </c>
      <c r="K26" s="70"/>
      <c r="L26" s="69"/>
      <c r="M26" s="71">
        <v>405659.62599999999</v>
      </c>
      <c r="N26" s="70"/>
    </row>
    <row r="27" spans="1:14" hidden="1" x14ac:dyDescent="0.2">
      <c r="A27" s="1" t="s">
        <v>28</v>
      </c>
      <c r="B27" s="36"/>
      <c r="C27" s="1"/>
      <c r="D27" s="14">
        <f>SUM(D24:D26)</f>
        <v>509495.04599999997</v>
      </c>
      <c r="F27" s="72"/>
      <c r="G27" s="66">
        <f>SUM(G24:G26)</f>
        <v>509495.04599999997</v>
      </c>
      <c r="H27" s="70"/>
      <c r="I27" s="72"/>
      <c r="J27" s="66">
        <f>SUM(J24:J26)</f>
        <v>509495.04599999997</v>
      </c>
      <c r="K27" s="70"/>
      <c r="L27" s="72"/>
      <c r="M27" s="66">
        <f>SUM(M24:M26)</f>
        <v>509495.04599999997</v>
      </c>
      <c r="N27" s="70"/>
    </row>
    <row r="28" spans="1:14" hidden="1" x14ac:dyDescent="0.2">
      <c r="A28" t="s">
        <v>25</v>
      </c>
      <c r="D28" s="13">
        <f>D16</f>
        <v>156696.679</v>
      </c>
      <c r="F28" s="69"/>
      <c r="G28" s="71">
        <f>G16</f>
        <v>156696.679</v>
      </c>
      <c r="H28" s="70"/>
      <c r="I28" s="69"/>
      <c r="J28" s="71">
        <f>J16</f>
        <v>156696.679</v>
      </c>
      <c r="K28" s="70"/>
      <c r="L28" s="69"/>
      <c r="M28" s="71">
        <f>M16</f>
        <v>156696.679</v>
      </c>
      <c r="N28" s="70"/>
    </row>
    <row r="29" spans="1:14" hidden="1" x14ac:dyDescent="0.2">
      <c r="A29" s="1" t="s">
        <v>29</v>
      </c>
      <c r="B29" s="36"/>
      <c r="C29" s="1"/>
      <c r="D29" s="14">
        <f>D27+D28</f>
        <v>666191.72499999998</v>
      </c>
      <c r="F29" s="72"/>
      <c r="G29" s="66">
        <f>G27+G28</f>
        <v>666191.72499999998</v>
      </c>
      <c r="H29" s="70"/>
      <c r="I29" s="72"/>
      <c r="J29" s="66">
        <f>J27+J28</f>
        <v>666191.72499999998</v>
      </c>
      <c r="K29" s="70"/>
      <c r="L29" s="72"/>
      <c r="M29" s="66">
        <f>M27+M28</f>
        <v>666191.72499999998</v>
      </c>
      <c r="N29" s="70"/>
    </row>
    <row r="30" spans="1:14" hidden="1" x14ac:dyDescent="0.2">
      <c r="A30" t="s">
        <v>27</v>
      </c>
      <c r="D30" s="13">
        <f>D17</f>
        <v>67005.671000000002</v>
      </c>
      <c r="F30" s="69"/>
      <c r="G30" s="71">
        <f>G17</f>
        <v>67005.671000000002</v>
      </c>
      <c r="H30" s="70"/>
      <c r="I30" s="69"/>
      <c r="J30" s="71">
        <f>J17</f>
        <v>67005.671000000002</v>
      </c>
      <c r="K30" s="70"/>
      <c r="L30" s="69"/>
      <c r="M30" s="71">
        <f>M17</f>
        <v>67005.671000000002</v>
      </c>
      <c r="N30" s="70"/>
    </row>
    <row r="31" spans="1:14" hidden="1" x14ac:dyDescent="0.2">
      <c r="A31" s="1" t="s">
        <v>44</v>
      </c>
      <c r="B31" s="36"/>
      <c r="D31" s="14">
        <f>D29+D30</f>
        <v>733197.39599999995</v>
      </c>
      <c r="F31" s="69"/>
      <c r="G31" s="66">
        <f>G29+G30</f>
        <v>733197.39599999995</v>
      </c>
      <c r="H31" s="70"/>
      <c r="I31" s="69"/>
      <c r="J31" s="66">
        <f>J29+J30</f>
        <v>733197.39599999995</v>
      </c>
      <c r="K31" s="70"/>
      <c r="L31" s="69"/>
      <c r="M31" s="66">
        <f>M29+M30</f>
        <v>733197.39599999995</v>
      </c>
      <c r="N31" s="70"/>
    </row>
    <row r="32" spans="1:14" hidden="1" x14ac:dyDescent="0.2">
      <c r="A32" s="1" t="s">
        <v>31</v>
      </c>
      <c r="B32" s="36"/>
      <c r="D32" s="13"/>
      <c r="F32" s="69"/>
      <c r="G32" s="71"/>
      <c r="H32" s="70"/>
      <c r="I32" s="69"/>
      <c r="J32" s="71"/>
      <c r="K32" s="70"/>
      <c r="L32" s="69"/>
      <c r="M32" s="71"/>
      <c r="N32" s="70"/>
    </row>
    <row r="33" spans="1:14" hidden="1" x14ac:dyDescent="0.2">
      <c r="A33" t="s">
        <v>32</v>
      </c>
      <c r="D33" s="13">
        <v>140704.84599999999</v>
      </c>
      <c r="F33" s="69"/>
      <c r="G33" s="71">
        <v>140704.84599999999</v>
      </c>
      <c r="H33" s="70"/>
      <c r="I33" s="69"/>
      <c r="J33" s="71">
        <v>140704.84599999999</v>
      </c>
      <c r="K33" s="70"/>
      <c r="L33" s="69"/>
      <c r="M33" s="71">
        <v>140704.84599999999</v>
      </c>
      <c r="N33" s="70"/>
    </row>
    <row r="34" spans="1:14" hidden="1" x14ac:dyDescent="0.2">
      <c r="A34" t="s">
        <v>33</v>
      </c>
      <c r="D34" s="13">
        <v>84195.767000000007</v>
      </c>
      <c r="F34" s="69"/>
      <c r="G34" s="71">
        <v>84195.767000000007</v>
      </c>
      <c r="H34" s="70"/>
      <c r="I34" s="69"/>
      <c r="J34" s="71">
        <v>84195.767000000007</v>
      </c>
      <c r="K34" s="70"/>
      <c r="L34" s="69"/>
      <c r="M34" s="71">
        <v>84195.767000000007</v>
      </c>
      <c r="N34" s="70"/>
    </row>
    <row r="35" spans="1:14" hidden="1" x14ac:dyDescent="0.2">
      <c r="A35" s="1" t="s">
        <v>35</v>
      </c>
      <c r="B35" s="36"/>
      <c r="C35" s="1"/>
      <c r="D35" s="14">
        <f>D34+D33</f>
        <v>224900.61300000001</v>
      </c>
      <c r="F35" s="72"/>
      <c r="G35" s="66">
        <f>G34+G33</f>
        <v>224900.61300000001</v>
      </c>
      <c r="H35" s="70"/>
      <c r="I35" s="72"/>
      <c r="J35" s="66">
        <f>J34+J33</f>
        <v>224900.61300000001</v>
      </c>
      <c r="K35" s="70"/>
      <c r="L35" s="72"/>
      <c r="M35" s="66">
        <f>M34+M33</f>
        <v>224900.61300000001</v>
      </c>
      <c r="N35" s="70"/>
    </row>
    <row r="36" spans="1:14" hidden="1" x14ac:dyDescent="0.2">
      <c r="A36" t="s">
        <v>34</v>
      </c>
      <c r="D36" s="13">
        <f>D7</f>
        <v>18268.293000000001</v>
      </c>
      <c r="F36" s="69"/>
      <c r="G36" s="71">
        <f>G7</f>
        <v>18268.293000000001</v>
      </c>
      <c r="H36" s="70"/>
      <c r="I36" s="69"/>
      <c r="J36" s="71">
        <f>J7</f>
        <v>18268.293000000001</v>
      </c>
      <c r="K36" s="70"/>
      <c r="L36" s="69"/>
      <c r="M36" s="71">
        <f>M7</f>
        <v>18268.293000000001</v>
      </c>
      <c r="N36" s="70"/>
    </row>
    <row r="37" spans="1:14" hidden="1" x14ac:dyDescent="0.2">
      <c r="A37" s="1" t="s">
        <v>36</v>
      </c>
      <c r="B37" s="36"/>
      <c r="D37" s="14">
        <f>D36+D34+D33</f>
        <v>243168.90600000002</v>
      </c>
      <c r="F37" s="69"/>
      <c r="G37" s="66">
        <f>G36+G34+G33</f>
        <v>243168.90600000002</v>
      </c>
      <c r="H37" s="70"/>
      <c r="I37" s="69"/>
      <c r="J37" s="66">
        <f>J36+J34+J33</f>
        <v>243168.90600000002</v>
      </c>
      <c r="K37" s="70"/>
      <c r="L37" s="69"/>
      <c r="M37" s="66">
        <f>M36+M34+M33</f>
        <v>243168.90600000002</v>
      </c>
      <c r="N37" s="70"/>
    </row>
    <row r="38" spans="1:14" hidden="1" x14ac:dyDescent="0.2">
      <c r="F38" s="69"/>
      <c r="G38" s="69"/>
      <c r="H38" s="70"/>
      <c r="I38" s="69"/>
      <c r="J38" s="69"/>
      <c r="K38" s="70"/>
      <c r="L38" s="69"/>
      <c r="M38" s="69"/>
      <c r="N38" s="70"/>
    </row>
    <row r="39" spans="1:14" hidden="1" x14ac:dyDescent="0.2">
      <c r="A39" s="1" t="s">
        <v>40</v>
      </c>
      <c r="B39" s="36"/>
      <c r="F39" s="69"/>
      <c r="G39" s="69"/>
      <c r="H39" s="70"/>
      <c r="I39" s="69"/>
      <c r="J39" s="69"/>
      <c r="K39" s="70"/>
      <c r="L39" s="69"/>
      <c r="M39" s="69"/>
      <c r="N39" s="70"/>
    </row>
    <row r="40" spans="1:14" hidden="1" x14ac:dyDescent="0.2">
      <c r="A40" t="s">
        <v>37</v>
      </c>
      <c r="D40" s="13">
        <v>80718.505999999994</v>
      </c>
      <c r="F40" s="69"/>
      <c r="G40" s="71">
        <v>80718.505999999994</v>
      </c>
      <c r="H40" s="70"/>
      <c r="I40" s="69"/>
      <c r="J40" s="71">
        <v>80718.505999999994</v>
      </c>
      <c r="K40" s="70"/>
      <c r="L40" s="69"/>
      <c r="M40" s="71">
        <v>80718.505999999994</v>
      </c>
      <c r="N40" s="70"/>
    </row>
    <row r="41" spans="1:14" hidden="1" x14ac:dyDescent="0.2">
      <c r="A41" t="s">
        <v>38</v>
      </c>
      <c r="D41" s="13">
        <v>12246.370999999999</v>
      </c>
      <c r="F41" s="69"/>
      <c r="G41" s="71">
        <v>12246.370999999999</v>
      </c>
      <c r="H41" s="70"/>
      <c r="I41" s="69"/>
      <c r="J41" s="71">
        <v>12246.370999999999</v>
      </c>
      <c r="K41" s="70"/>
      <c r="L41" s="69"/>
      <c r="M41" s="71">
        <v>12246.370999999999</v>
      </c>
      <c r="N41" s="70"/>
    </row>
    <row r="42" spans="1:14" hidden="1" x14ac:dyDescent="0.2">
      <c r="A42" t="s">
        <v>39</v>
      </c>
      <c r="D42" s="13">
        <v>58574.391000000003</v>
      </c>
      <c r="F42" s="69"/>
      <c r="G42" s="71">
        <v>58574.391000000003</v>
      </c>
      <c r="H42" s="70"/>
      <c r="I42" s="69"/>
      <c r="J42" s="71">
        <v>58574.391000000003</v>
      </c>
      <c r="K42" s="70"/>
      <c r="L42" s="69"/>
      <c r="M42" s="71">
        <v>58574.391000000003</v>
      </c>
      <c r="N42" s="70"/>
    </row>
    <row r="43" spans="1:14" hidden="1" x14ac:dyDescent="0.2">
      <c r="A43" s="1" t="s">
        <v>41</v>
      </c>
      <c r="B43" s="36"/>
      <c r="D43" s="14">
        <f>SUM(D40:D42)</f>
        <v>151539.26799999998</v>
      </c>
      <c r="F43" s="69"/>
      <c r="G43" s="66">
        <f>SUM(G40:G42)</f>
        <v>151539.26799999998</v>
      </c>
      <c r="H43" s="70"/>
      <c r="I43" s="69"/>
      <c r="J43" s="66">
        <f>SUM(J40:J42)</f>
        <v>151539.26799999998</v>
      </c>
      <c r="K43" s="70"/>
      <c r="L43" s="69"/>
      <c r="M43" s="66">
        <f>SUM(M40:M42)</f>
        <v>151539.26799999998</v>
      </c>
      <c r="N43" s="70"/>
    </row>
    <row r="44" spans="1:14" hidden="1" x14ac:dyDescent="0.2">
      <c r="A44" s="1" t="s">
        <v>42</v>
      </c>
      <c r="B44" s="36"/>
      <c r="D44" s="14">
        <f>D31+D37+D43</f>
        <v>1127905.5699999998</v>
      </c>
      <c r="F44" s="69"/>
      <c r="G44" s="66">
        <f>G31+G37+G43</f>
        <v>1127905.5699999998</v>
      </c>
      <c r="H44" s="70"/>
      <c r="I44" s="69"/>
      <c r="J44" s="66">
        <f>J31+J37+J43</f>
        <v>1127905.5699999998</v>
      </c>
      <c r="K44" s="70"/>
      <c r="L44" s="69"/>
      <c r="M44" s="66">
        <f>M31+M37+M43</f>
        <v>1127905.5699999998</v>
      </c>
      <c r="N44" s="70"/>
    </row>
    <row r="45" spans="1:14" hidden="1" x14ac:dyDescent="0.2">
      <c r="A45" t="s">
        <v>43</v>
      </c>
      <c r="D45" s="13">
        <f>D19-D44</f>
        <v>6610.352000000421</v>
      </c>
      <c r="F45" s="69"/>
      <c r="G45" s="71">
        <f>G19-G44</f>
        <v>6610.352000000421</v>
      </c>
      <c r="H45" s="70"/>
      <c r="I45" s="69"/>
      <c r="J45" s="71">
        <f>J19-J44</f>
        <v>6610.352000000421</v>
      </c>
      <c r="K45" s="70"/>
      <c r="L45" s="69"/>
      <c r="M45" s="71">
        <f>M19-M44</f>
        <v>6610.352000000421</v>
      </c>
      <c r="N45" s="70"/>
    </row>
    <row r="46" spans="1:14" hidden="1" x14ac:dyDescent="0.2">
      <c r="D46" s="13"/>
      <c r="F46" s="69"/>
      <c r="G46" s="71"/>
      <c r="H46" s="70"/>
      <c r="I46" s="69"/>
      <c r="J46" s="71"/>
      <c r="K46" s="70"/>
      <c r="L46" s="69"/>
      <c r="M46" s="71"/>
      <c r="N46" s="70"/>
    </row>
    <row r="47" spans="1:14" hidden="1" x14ac:dyDescent="0.2">
      <c r="D47" s="13" t="s">
        <v>45</v>
      </c>
      <c r="F47" s="69"/>
      <c r="G47" s="71" t="s">
        <v>45</v>
      </c>
      <c r="H47" s="70"/>
      <c r="I47" s="69"/>
      <c r="J47" s="71" t="s">
        <v>45</v>
      </c>
      <c r="K47" s="70"/>
      <c r="L47" s="69"/>
      <c r="M47" s="71" t="s">
        <v>45</v>
      </c>
      <c r="N47" s="70"/>
    </row>
    <row r="48" spans="1:14" ht="17" hidden="1" thickBot="1" x14ac:dyDescent="0.25">
      <c r="A48" s="16"/>
      <c r="B48" s="37"/>
      <c r="C48" s="16"/>
      <c r="D48" s="16"/>
      <c r="E48" s="37"/>
      <c r="F48" s="67"/>
      <c r="G48" s="67"/>
      <c r="H48" s="68"/>
      <c r="I48" s="67"/>
      <c r="J48" s="67"/>
      <c r="K48" s="68"/>
      <c r="L48" s="67"/>
      <c r="M48" s="67"/>
      <c r="N48" s="68"/>
    </row>
    <row r="49" spans="1:14" ht="17" hidden="1" thickTop="1" x14ac:dyDescent="0.2">
      <c r="A49" s="1" t="s">
        <v>46</v>
      </c>
      <c r="B49" s="36"/>
      <c r="C49" s="1" t="s">
        <v>48</v>
      </c>
      <c r="D49" s="1" t="s">
        <v>49</v>
      </c>
      <c r="E49" s="36" t="s">
        <v>0</v>
      </c>
      <c r="F49" s="72" t="s">
        <v>48</v>
      </c>
      <c r="G49" s="72" t="s">
        <v>49</v>
      </c>
      <c r="H49" s="73" t="s">
        <v>0</v>
      </c>
      <c r="I49" s="72" t="s">
        <v>48</v>
      </c>
      <c r="J49" s="72" t="s">
        <v>49</v>
      </c>
      <c r="K49" s="73" t="s">
        <v>0</v>
      </c>
      <c r="L49" s="72" t="s">
        <v>48</v>
      </c>
      <c r="M49" s="72" t="s">
        <v>49</v>
      </c>
      <c r="N49" s="73" t="s">
        <v>0</v>
      </c>
    </row>
    <row r="50" spans="1:14" hidden="1" x14ac:dyDescent="0.2">
      <c r="A50" t="s">
        <v>50</v>
      </c>
      <c r="C50" s="18">
        <v>14.19</v>
      </c>
      <c r="D50" s="4">
        <v>84139</v>
      </c>
      <c r="E50" s="38">
        <f>C50*D50</f>
        <v>1193932.4099999999</v>
      </c>
      <c r="F50" s="74">
        <v>14.19</v>
      </c>
      <c r="G50" s="75">
        <v>84139</v>
      </c>
      <c r="H50" s="76">
        <f>F50*G50</f>
        <v>1193932.4099999999</v>
      </c>
      <c r="I50" s="74">
        <v>14.19</v>
      </c>
      <c r="J50" s="75">
        <v>84139</v>
      </c>
      <c r="K50" s="76">
        <f>I50*J50</f>
        <v>1193932.4099999999</v>
      </c>
      <c r="L50" s="74">
        <v>14.19</v>
      </c>
      <c r="M50" s="75">
        <v>84139</v>
      </c>
      <c r="N50" s="76">
        <f>L50*M50</f>
        <v>1193932.4099999999</v>
      </c>
    </row>
    <row r="51" spans="1:14" hidden="1" x14ac:dyDescent="0.2">
      <c r="A51" t="s">
        <v>51</v>
      </c>
      <c r="C51" s="18">
        <v>19.18</v>
      </c>
      <c r="D51" s="4">
        <v>405660</v>
      </c>
      <c r="E51" s="38">
        <f>C51*D51</f>
        <v>7780558.7999999998</v>
      </c>
      <c r="F51" s="74">
        <v>19.18</v>
      </c>
      <c r="G51" s="75">
        <v>405660</v>
      </c>
      <c r="H51" s="76">
        <f>F51*G51</f>
        <v>7780558.7999999998</v>
      </c>
      <c r="I51" s="74">
        <v>19.18</v>
      </c>
      <c r="J51" s="75">
        <v>405660</v>
      </c>
      <c r="K51" s="76">
        <f>I51*J51</f>
        <v>7780558.7999999998</v>
      </c>
      <c r="L51" s="74">
        <v>19.18</v>
      </c>
      <c r="M51" s="75">
        <v>405660</v>
      </c>
      <c r="N51" s="76">
        <f>L51*M51</f>
        <v>7780558.7999999998</v>
      </c>
    </row>
    <row r="52" spans="1:14" hidden="1" x14ac:dyDescent="0.2">
      <c r="A52" t="s">
        <v>52</v>
      </c>
      <c r="C52" s="18">
        <v>4.55</v>
      </c>
      <c r="D52" s="12">
        <f>D43</f>
        <v>151539.26799999998</v>
      </c>
      <c r="E52" s="38">
        <f>C52*D52</f>
        <v>689503.6693999999</v>
      </c>
      <c r="F52" s="74">
        <v>4.55</v>
      </c>
      <c r="G52" s="77">
        <f>G43</f>
        <v>151539.26799999998</v>
      </c>
      <c r="H52" s="76">
        <f>F52*G52</f>
        <v>689503.6693999999</v>
      </c>
      <c r="I52" s="74">
        <v>4.55</v>
      </c>
      <c r="J52" s="77">
        <f>J43</f>
        <v>151539.26799999998</v>
      </c>
      <c r="K52" s="76">
        <f>I52*J52</f>
        <v>689503.6693999999</v>
      </c>
      <c r="L52" s="74">
        <v>4.55</v>
      </c>
      <c r="M52" s="77">
        <f>M43</f>
        <v>151539.26799999998</v>
      </c>
      <c r="N52" s="76">
        <f>L52*M52</f>
        <v>689503.6693999999</v>
      </c>
    </row>
    <row r="53" spans="1:14" hidden="1" x14ac:dyDescent="0.2">
      <c r="A53" t="s">
        <v>53</v>
      </c>
      <c r="E53" s="38">
        <v>173617</v>
      </c>
      <c r="F53" s="69"/>
      <c r="G53" s="69"/>
      <c r="H53" s="76">
        <v>173617</v>
      </c>
      <c r="I53" s="69"/>
      <c r="J53" s="69"/>
      <c r="K53" s="76">
        <v>173617</v>
      </c>
      <c r="L53" s="69"/>
      <c r="M53" s="69"/>
      <c r="N53" s="76">
        <v>173617</v>
      </c>
    </row>
    <row r="54" spans="1:14" hidden="1" x14ac:dyDescent="0.2">
      <c r="A54" t="s">
        <v>54</v>
      </c>
      <c r="C54" s="18">
        <v>4.8</v>
      </c>
      <c r="D54" s="12">
        <v>555400</v>
      </c>
      <c r="E54" s="38">
        <f>C54*D54</f>
        <v>2665920</v>
      </c>
      <c r="F54" s="74">
        <v>4.8</v>
      </c>
      <c r="G54" s="77">
        <v>555400</v>
      </c>
      <c r="H54" s="76">
        <f>F54*G54</f>
        <v>2665920</v>
      </c>
      <c r="I54" s="74">
        <v>4.8</v>
      </c>
      <c r="J54" s="77">
        <v>555400</v>
      </c>
      <c r="K54" s="76">
        <f>I54*J54</f>
        <v>2665920</v>
      </c>
      <c r="L54" s="74">
        <v>4.8</v>
      </c>
      <c r="M54" s="77">
        <v>555400</v>
      </c>
      <c r="N54" s="76">
        <f>L54*M54</f>
        <v>2665920</v>
      </c>
    </row>
    <row r="55" spans="1:14" hidden="1" x14ac:dyDescent="0.2">
      <c r="A55" t="s">
        <v>55</v>
      </c>
      <c r="C55" s="18">
        <v>10</v>
      </c>
      <c r="D55" s="12">
        <f>D54</f>
        <v>555400</v>
      </c>
      <c r="E55" s="38">
        <f>C55*D55</f>
        <v>5554000</v>
      </c>
      <c r="F55" s="74">
        <v>10</v>
      </c>
      <c r="G55" s="77">
        <f>G54</f>
        <v>555400</v>
      </c>
      <c r="H55" s="76">
        <f>F55*G55</f>
        <v>5554000</v>
      </c>
      <c r="I55" s="74">
        <v>10</v>
      </c>
      <c r="J55" s="77">
        <f>J54</f>
        <v>555400</v>
      </c>
      <c r="K55" s="76">
        <f>I55*J55</f>
        <v>5554000</v>
      </c>
      <c r="L55" s="74">
        <v>10</v>
      </c>
      <c r="M55" s="77">
        <f>M54</f>
        <v>555400</v>
      </c>
      <c r="N55" s="76">
        <f>L55*M55</f>
        <v>5554000</v>
      </c>
    </row>
    <row r="56" spans="1:14" hidden="1" x14ac:dyDescent="0.2">
      <c r="F56" s="69"/>
      <c r="G56" s="69"/>
      <c r="H56" s="70"/>
      <c r="I56" s="69"/>
      <c r="J56" s="69"/>
      <c r="K56" s="70"/>
      <c r="L56" s="69"/>
      <c r="M56" s="69"/>
      <c r="N56" s="70"/>
    </row>
    <row r="57" spans="1:14" hidden="1" x14ac:dyDescent="0.2">
      <c r="A57" s="1" t="s">
        <v>56</v>
      </c>
      <c r="B57" s="36"/>
      <c r="F57" s="69"/>
      <c r="G57" s="69"/>
      <c r="H57" s="70"/>
      <c r="I57" s="69"/>
      <c r="J57" s="69"/>
      <c r="K57" s="70"/>
      <c r="L57" s="69"/>
      <c r="M57" s="69"/>
      <c r="N57" s="70"/>
    </row>
    <row r="58" spans="1:14" hidden="1" x14ac:dyDescent="0.2">
      <c r="A58" s="1" t="s">
        <v>57</v>
      </c>
      <c r="B58" s="36"/>
      <c r="F58" s="69"/>
      <c r="G58" s="69"/>
      <c r="H58" s="70"/>
      <c r="I58" s="69"/>
      <c r="J58" s="69"/>
      <c r="K58" s="70"/>
      <c r="L58" s="69"/>
      <c r="M58" s="69"/>
      <c r="N58" s="70"/>
    </row>
    <row r="59" spans="1:14" hidden="1" x14ac:dyDescent="0.2">
      <c r="A59" t="s">
        <v>58</v>
      </c>
      <c r="E59" s="38">
        <v>28964182</v>
      </c>
      <c r="F59" s="69"/>
      <c r="G59" s="69"/>
      <c r="H59" s="76">
        <v>28964182</v>
      </c>
      <c r="I59" s="69"/>
      <c r="J59" s="69"/>
      <c r="K59" s="76">
        <v>28964182</v>
      </c>
      <c r="L59" s="69"/>
      <c r="M59" s="69"/>
      <c r="N59" s="76">
        <v>28964182</v>
      </c>
    </row>
    <row r="60" spans="1:14" hidden="1" x14ac:dyDescent="0.2">
      <c r="A60" t="s">
        <v>60</v>
      </c>
      <c r="E60" s="38">
        <v>4956019</v>
      </c>
      <c r="F60" s="69"/>
      <c r="G60" s="69"/>
      <c r="H60" s="76">
        <v>4956019</v>
      </c>
      <c r="I60" s="69"/>
      <c r="J60" s="69"/>
      <c r="K60" s="76">
        <v>4956019</v>
      </c>
      <c r="L60" s="69"/>
      <c r="M60" s="69"/>
      <c r="N60" s="76">
        <v>4956019</v>
      </c>
    </row>
    <row r="61" spans="1:14" hidden="1" x14ac:dyDescent="0.2">
      <c r="A61" t="s">
        <v>61</v>
      </c>
      <c r="E61" s="38">
        <v>214379</v>
      </c>
      <c r="F61" s="69"/>
      <c r="G61" s="69"/>
      <c r="H61" s="76">
        <v>214379</v>
      </c>
      <c r="I61" s="69"/>
      <c r="J61" s="69"/>
      <c r="K61" s="76">
        <v>214379</v>
      </c>
      <c r="L61" s="69"/>
      <c r="M61" s="69"/>
      <c r="N61" s="76">
        <v>214379</v>
      </c>
    </row>
    <row r="62" spans="1:14" hidden="1" x14ac:dyDescent="0.2">
      <c r="A62" t="s">
        <v>62</v>
      </c>
      <c r="E62" s="38">
        <v>-46274</v>
      </c>
      <c r="F62" s="69"/>
      <c r="G62" s="69"/>
      <c r="H62" s="76">
        <v>-46274</v>
      </c>
      <c r="I62" s="69"/>
      <c r="J62" s="69"/>
      <c r="K62" s="76">
        <v>-46274</v>
      </c>
      <c r="L62" s="69"/>
      <c r="M62" s="69"/>
      <c r="N62" s="76">
        <v>-46274</v>
      </c>
    </row>
    <row r="63" spans="1:14" hidden="1" x14ac:dyDescent="0.2">
      <c r="A63" s="1" t="s">
        <v>8</v>
      </c>
      <c r="B63" s="36"/>
      <c r="C63" s="18">
        <f>E63/D63</f>
        <v>49.235157584887567</v>
      </c>
      <c r="D63" s="22">
        <v>692357</v>
      </c>
      <c r="E63" s="39">
        <f>SUM(E59:E62)</f>
        <v>34088306</v>
      </c>
      <c r="F63" s="74">
        <f>H63/G63</f>
        <v>49.235157584887567</v>
      </c>
      <c r="G63" s="78">
        <v>692357</v>
      </c>
      <c r="H63" s="79">
        <f>SUM(H59:H62)</f>
        <v>34088306</v>
      </c>
      <c r="I63" s="74">
        <f>K63/J63</f>
        <v>49.235157584887567</v>
      </c>
      <c r="J63" s="78">
        <v>692357</v>
      </c>
      <c r="K63" s="79">
        <f>SUM(K59:K62)</f>
        <v>34088306</v>
      </c>
      <c r="L63" s="74">
        <f>N63/M63</f>
        <v>49.235157584887567</v>
      </c>
      <c r="M63" s="78">
        <v>692357</v>
      </c>
      <c r="N63" s="79">
        <f>SUM(N59:N62)</f>
        <v>34088306</v>
      </c>
    </row>
    <row r="64" spans="1:14" hidden="1" x14ac:dyDescent="0.2">
      <c r="F64" s="69"/>
      <c r="G64" s="69"/>
      <c r="H64" s="70"/>
      <c r="I64" s="69"/>
      <c r="J64" s="69"/>
      <c r="K64" s="70"/>
      <c r="L64" s="69"/>
      <c r="M64" s="69"/>
      <c r="N64" s="70"/>
    </row>
    <row r="65" spans="1:14" hidden="1" x14ac:dyDescent="0.2">
      <c r="A65" s="1" t="s">
        <v>63</v>
      </c>
      <c r="B65" s="36"/>
      <c r="F65" s="69"/>
      <c r="G65" s="69"/>
      <c r="H65" s="70"/>
      <c r="I65" s="69"/>
      <c r="J65" s="69"/>
      <c r="K65" s="70"/>
      <c r="L65" s="69"/>
      <c r="M65" s="69"/>
      <c r="N65" s="70"/>
    </row>
    <row r="66" spans="1:14" hidden="1" x14ac:dyDescent="0.2">
      <c r="A66" t="s">
        <v>64</v>
      </c>
      <c r="E66" s="38">
        <v>47600458</v>
      </c>
      <c r="F66" s="69"/>
      <c r="G66" s="69"/>
      <c r="H66" s="76">
        <v>47600458</v>
      </c>
      <c r="I66" s="69"/>
      <c r="J66" s="69"/>
      <c r="K66" s="76">
        <v>47600458</v>
      </c>
      <c r="L66" s="69"/>
      <c r="M66" s="69"/>
      <c r="N66" s="76">
        <v>47600458</v>
      </c>
    </row>
    <row r="67" spans="1:14" hidden="1" x14ac:dyDescent="0.2">
      <c r="A67" t="s">
        <v>65</v>
      </c>
      <c r="E67" s="38">
        <v>-3745022</v>
      </c>
      <c r="F67" s="69"/>
      <c r="G67" s="69"/>
      <c r="H67" s="76">
        <v>-3745022</v>
      </c>
      <c r="I67" s="69"/>
      <c r="J67" s="69"/>
      <c r="K67" s="76">
        <v>-3745022</v>
      </c>
      <c r="L67" s="69"/>
      <c r="M67" s="69"/>
      <c r="N67" s="76">
        <v>-3745022</v>
      </c>
    </row>
    <row r="68" spans="1:14" hidden="1" x14ac:dyDescent="0.2">
      <c r="A68" t="s">
        <v>66</v>
      </c>
      <c r="E68" s="38">
        <v>-1995113</v>
      </c>
      <c r="F68" s="69"/>
      <c r="G68" s="69"/>
      <c r="H68" s="76">
        <v>-1995113</v>
      </c>
      <c r="I68" s="69"/>
      <c r="J68" s="69"/>
      <c r="K68" s="76">
        <v>-1995113</v>
      </c>
      <c r="L68" s="69"/>
      <c r="M68" s="69"/>
      <c r="N68" s="76">
        <v>-1995113</v>
      </c>
    </row>
    <row r="69" spans="1:14" hidden="1" x14ac:dyDescent="0.2">
      <c r="A69" t="s">
        <v>67</v>
      </c>
      <c r="E69" s="38">
        <v>-9662252</v>
      </c>
      <c r="F69" s="69"/>
      <c r="G69" s="69"/>
      <c r="H69" s="76">
        <v>-9662252</v>
      </c>
      <c r="I69" s="69"/>
      <c r="J69" s="69"/>
      <c r="K69" s="76">
        <v>-9662252</v>
      </c>
      <c r="L69" s="69"/>
      <c r="M69" s="69"/>
      <c r="N69" s="76">
        <v>-9662252</v>
      </c>
    </row>
    <row r="70" spans="1:14" hidden="1" x14ac:dyDescent="0.2">
      <c r="A70" t="s">
        <v>68</v>
      </c>
      <c r="E70" s="38">
        <v>-5409106</v>
      </c>
      <c r="F70" s="69"/>
      <c r="G70" s="69"/>
      <c r="H70" s="76">
        <v>-5409106</v>
      </c>
      <c r="I70" s="69"/>
      <c r="J70" s="69"/>
      <c r="K70" s="76">
        <v>-5409106</v>
      </c>
      <c r="L70" s="69"/>
      <c r="M70" s="69"/>
      <c r="N70" s="76">
        <v>-5409106</v>
      </c>
    </row>
    <row r="71" spans="1:14" hidden="1" x14ac:dyDescent="0.2">
      <c r="A71" t="s">
        <v>69</v>
      </c>
      <c r="C71" s="20">
        <f>E71/D76</f>
        <v>37.677922191170452</v>
      </c>
      <c r="E71" s="43">
        <f>SUM(E66:E70)</f>
        <v>26788965</v>
      </c>
      <c r="F71" s="80">
        <f>H71/G76</f>
        <v>37.677922191170452</v>
      </c>
      <c r="G71" s="69"/>
      <c r="H71" s="81">
        <f>SUM(H66:H70)</f>
        <v>26788965</v>
      </c>
      <c r="I71" s="80">
        <f>K71/J76</f>
        <v>37.677922191170452</v>
      </c>
      <c r="J71" s="69"/>
      <c r="K71" s="81">
        <f>SUM(K66:K70)</f>
        <v>26788965</v>
      </c>
      <c r="L71" s="80">
        <f>N71/M76</f>
        <v>37.677922191170452</v>
      </c>
      <c r="M71" s="69"/>
      <c r="N71" s="81">
        <f>SUM(N66:N70)</f>
        <v>26788965</v>
      </c>
    </row>
    <row r="72" spans="1:14" hidden="1" x14ac:dyDescent="0.2">
      <c r="A72" t="s">
        <v>70</v>
      </c>
      <c r="E72" s="38">
        <v>6060554</v>
      </c>
      <c r="F72" s="69"/>
      <c r="G72" s="69"/>
      <c r="H72" s="76">
        <v>6060554</v>
      </c>
      <c r="I72" s="69"/>
      <c r="J72" s="69"/>
      <c r="K72" s="76">
        <v>6060554</v>
      </c>
      <c r="L72" s="69"/>
      <c r="M72" s="69"/>
      <c r="N72" s="76">
        <v>6060554</v>
      </c>
    </row>
    <row r="73" spans="1:14" hidden="1" x14ac:dyDescent="0.2">
      <c r="A73" t="s">
        <v>71</v>
      </c>
      <c r="E73" s="38">
        <v>-961860</v>
      </c>
      <c r="F73" s="69"/>
      <c r="G73" s="69"/>
      <c r="H73" s="76">
        <v>-961860</v>
      </c>
      <c r="I73" s="69"/>
      <c r="J73" s="69"/>
      <c r="K73" s="76">
        <v>-961860</v>
      </c>
      <c r="L73" s="69"/>
      <c r="M73" s="69"/>
      <c r="N73" s="76">
        <v>-961860</v>
      </c>
    </row>
    <row r="74" spans="1:14" hidden="1" x14ac:dyDescent="0.2">
      <c r="A74" t="s">
        <v>72</v>
      </c>
      <c r="C74" s="20">
        <f>E74/D76</f>
        <v>7.1711690171153544</v>
      </c>
      <c r="E74" s="47">
        <f>E72+E73</f>
        <v>5098694</v>
      </c>
      <c r="F74" s="80">
        <f>H74/G76</f>
        <v>7.1711690171153544</v>
      </c>
      <c r="G74" s="69"/>
      <c r="H74" s="82">
        <f>H72+H73</f>
        <v>5098694</v>
      </c>
      <c r="I74" s="80">
        <f>K74/J76</f>
        <v>7.1711690171153544</v>
      </c>
      <c r="J74" s="69"/>
      <c r="K74" s="82">
        <f>K72+K73</f>
        <v>5098694</v>
      </c>
      <c r="L74" s="80">
        <f>N74/M76</f>
        <v>7.1711690171153544</v>
      </c>
      <c r="M74" s="69"/>
      <c r="N74" s="82">
        <f>N72+N73</f>
        <v>5098694</v>
      </c>
    </row>
    <row r="75" spans="1:14" hidden="1" x14ac:dyDescent="0.2">
      <c r="A75" t="s">
        <v>73</v>
      </c>
      <c r="C75" s="20">
        <f>E75/D76</f>
        <v>9.8134301173419374</v>
      </c>
      <c r="E75" s="43">
        <v>6977339</v>
      </c>
      <c r="F75" s="80">
        <f>H75/G76</f>
        <v>9.8134301173419374</v>
      </c>
      <c r="G75" s="69"/>
      <c r="H75" s="81">
        <v>6977339</v>
      </c>
      <c r="I75" s="80">
        <f>K75/J76</f>
        <v>9.8134301173419374</v>
      </c>
      <c r="J75" s="69"/>
      <c r="K75" s="81">
        <v>6977339</v>
      </c>
      <c r="L75" s="80">
        <f>N75/M76</f>
        <v>9.8134301173419374</v>
      </c>
      <c r="M75" s="69"/>
      <c r="N75" s="81">
        <v>6977339</v>
      </c>
    </row>
    <row r="76" spans="1:14" hidden="1" x14ac:dyDescent="0.2">
      <c r="A76" s="1" t="s">
        <v>74</v>
      </c>
      <c r="B76" s="36"/>
      <c r="C76" s="21">
        <f>C71+C74+C75</f>
        <v>54.662521325627743</v>
      </c>
      <c r="D76" s="22">
        <f>C4</f>
        <v>710999</v>
      </c>
      <c r="E76" s="47">
        <f>E71+E74+E75</f>
        <v>38864998</v>
      </c>
      <c r="F76" s="83">
        <f>F71+F74+F75</f>
        <v>54.662521325627743</v>
      </c>
      <c r="G76" s="78">
        <f>F4</f>
        <v>710999</v>
      </c>
      <c r="H76" s="82">
        <f>H71+H74+H75</f>
        <v>38864998</v>
      </c>
      <c r="I76" s="83">
        <f>I71+I74+I75</f>
        <v>54.662521325627743</v>
      </c>
      <c r="J76" s="78">
        <f>I4</f>
        <v>710999</v>
      </c>
      <c r="K76" s="82">
        <f>K71+K74+K75</f>
        <v>38864998</v>
      </c>
      <c r="L76" s="83">
        <f>L71+L74+L75</f>
        <v>54.662521325627743</v>
      </c>
      <c r="M76" s="78">
        <f>L4</f>
        <v>710999</v>
      </c>
      <c r="N76" s="82">
        <f>N71+N74+N75</f>
        <v>38864998</v>
      </c>
    </row>
    <row r="77" spans="1:14" hidden="1" x14ac:dyDescent="0.2">
      <c r="F77" s="69"/>
      <c r="G77" s="69"/>
      <c r="H77" s="70"/>
      <c r="I77" s="69"/>
      <c r="J77" s="69"/>
      <c r="K77" s="70"/>
      <c r="L77" s="69"/>
      <c r="M77" s="69"/>
      <c r="N77" s="70"/>
    </row>
    <row r="78" spans="1:14" hidden="1" x14ac:dyDescent="0.2">
      <c r="A78" s="1" t="s">
        <v>75</v>
      </c>
      <c r="B78" s="36"/>
      <c r="F78" s="69"/>
      <c r="G78" s="69"/>
      <c r="H78" s="70"/>
      <c r="I78" s="69"/>
      <c r="J78" s="69"/>
      <c r="K78" s="70"/>
      <c r="L78" s="69"/>
      <c r="M78" s="69"/>
      <c r="N78" s="70"/>
    </row>
    <row r="79" spans="1:14" hidden="1" x14ac:dyDescent="0.2">
      <c r="A79" t="s">
        <v>76</v>
      </c>
      <c r="E79" s="38">
        <v>14819466</v>
      </c>
      <c r="F79" s="69"/>
      <c r="G79" s="69"/>
      <c r="H79" s="76">
        <v>14819466</v>
      </c>
      <c r="I79" s="69"/>
      <c r="J79" s="69"/>
      <c r="K79" s="76">
        <v>14819466</v>
      </c>
      <c r="L79" s="69"/>
      <c r="M79" s="69"/>
      <c r="N79" s="76">
        <v>14819466</v>
      </c>
    </row>
    <row r="80" spans="1:14" hidden="1" x14ac:dyDescent="0.2">
      <c r="A80" t="s">
        <v>77</v>
      </c>
      <c r="E80" s="38">
        <v>214379</v>
      </c>
      <c r="F80" s="69"/>
      <c r="G80" s="69"/>
      <c r="H80" s="76">
        <v>214379</v>
      </c>
      <c r="I80" s="69"/>
      <c r="J80" s="69"/>
      <c r="K80" s="76">
        <v>214379</v>
      </c>
      <c r="L80" s="69"/>
      <c r="M80" s="69"/>
      <c r="N80" s="76">
        <v>214379</v>
      </c>
    </row>
    <row r="81" spans="1:14" hidden="1" x14ac:dyDescent="0.2">
      <c r="A81" t="s">
        <v>78</v>
      </c>
      <c r="E81" s="38">
        <v>-10183</v>
      </c>
      <c r="F81" s="69"/>
      <c r="G81" s="69"/>
      <c r="H81" s="76">
        <v>-10183</v>
      </c>
      <c r="I81" s="69"/>
      <c r="J81" s="69"/>
      <c r="K81" s="76">
        <v>-10183</v>
      </c>
      <c r="L81" s="69"/>
      <c r="M81" s="69"/>
      <c r="N81" s="76">
        <v>-10183</v>
      </c>
    </row>
    <row r="82" spans="1:14" hidden="1" x14ac:dyDescent="0.2">
      <c r="C82" s="18">
        <f>E82/D82</f>
        <v>107.30148694395284</v>
      </c>
      <c r="D82" s="6">
        <f>D10+D14</f>
        <v>140013.549</v>
      </c>
      <c r="E82" s="43">
        <f>SUM(E79:E81)</f>
        <v>15023662</v>
      </c>
      <c r="F82" s="74">
        <f>H82/G82</f>
        <v>107.30148694395284</v>
      </c>
      <c r="G82" s="57">
        <f>G10+G14</f>
        <v>140013.549</v>
      </c>
      <c r="H82" s="81">
        <f>SUM(H79:H81)</f>
        <v>15023662</v>
      </c>
      <c r="I82" s="74">
        <f>K82/J82</f>
        <v>107.30148694395284</v>
      </c>
      <c r="J82" s="57">
        <f>J10+J14</f>
        <v>140013.549</v>
      </c>
      <c r="K82" s="81">
        <f>SUM(K79:K81)</f>
        <v>15023662</v>
      </c>
      <c r="L82" s="74">
        <f>N82/M82</f>
        <v>107.30148694395284</v>
      </c>
      <c r="M82" s="57">
        <f>M10+M14</f>
        <v>140013.549</v>
      </c>
      <c r="N82" s="81">
        <f>SUM(N79:N81)</f>
        <v>15023662</v>
      </c>
    </row>
    <row r="83" spans="1:14" hidden="1" x14ac:dyDescent="0.2">
      <c r="F83" s="69"/>
      <c r="G83" s="69"/>
      <c r="H83" s="70"/>
      <c r="I83" s="69"/>
      <c r="J83" s="69"/>
      <c r="K83" s="70"/>
      <c r="L83" s="69"/>
      <c r="M83" s="69"/>
      <c r="N83" s="70"/>
    </row>
    <row r="84" spans="1:14" hidden="1" x14ac:dyDescent="0.2">
      <c r="A84" s="1" t="s">
        <v>30</v>
      </c>
      <c r="B84" s="36"/>
      <c r="F84" s="69"/>
      <c r="G84" s="69"/>
      <c r="H84" s="70"/>
      <c r="I84" s="69"/>
      <c r="J84" s="69"/>
      <c r="K84" s="70"/>
      <c r="L84" s="69"/>
      <c r="M84" s="69"/>
      <c r="N84" s="70"/>
    </row>
    <row r="85" spans="1:14" hidden="1" x14ac:dyDescent="0.2">
      <c r="A85" t="s">
        <v>79</v>
      </c>
      <c r="F85" s="69"/>
      <c r="G85" s="69"/>
      <c r="H85" s="70"/>
      <c r="I85" s="69"/>
      <c r="J85" s="69"/>
      <c r="K85" s="70"/>
      <c r="L85" s="69"/>
      <c r="M85" s="69"/>
      <c r="N85" s="70"/>
    </row>
    <row r="86" spans="1:14" hidden="1" x14ac:dyDescent="0.2">
      <c r="A86" t="s">
        <v>80</v>
      </c>
      <c r="E86" s="38">
        <v>30432853</v>
      </c>
      <c r="F86" s="69"/>
      <c r="G86" s="69"/>
      <c r="H86" s="76">
        <v>30432853</v>
      </c>
      <c r="I86" s="69"/>
      <c r="J86" s="69"/>
      <c r="K86" s="76">
        <v>30432853</v>
      </c>
      <c r="L86" s="69"/>
      <c r="M86" s="69"/>
      <c r="N86" s="76">
        <v>30432853</v>
      </c>
    </row>
    <row r="87" spans="1:14" hidden="1" x14ac:dyDescent="0.2">
      <c r="A87" t="s">
        <v>81</v>
      </c>
      <c r="E87" s="38">
        <v>494971</v>
      </c>
      <c r="F87" s="69"/>
      <c r="G87" s="69"/>
      <c r="H87" s="76">
        <v>494971</v>
      </c>
      <c r="I87" s="69"/>
      <c r="J87" s="69"/>
      <c r="K87" s="76">
        <v>494971</v>
      </c>
      <c r="L87" s="69"/>
      <c r="M87" s="69"/>
      <c r="N87" s="76">
        <v>494971</v>
      </c>
    </row>
    <row r="88" spans="1:14" hidden="1" x14ac:dyDescent="0.2">
      <c r="A88" t="s">
        <v>83</v>
      </c>
      <c r="E88" s="38">
        <v>-3649146</v>
      </c>
      <c r="F88" s="69"/>
      <c r="G88" s="69"/>
      <c r="H88" s="76">
        <v>-3649146</v>
      </c>
      <c r="I88" s="69"/>
      <c r="J88" s="69"/>
      <c r="K88" s="76">
        <v>-3649146</v>
      </c>
      <c r="L88" s="69"/>
      <c r="M88" s="69"/>
      <c r="N88" s="76">
        <v>-3649146</v>
      </c>
    </row>
    <row r="89" spans="1:14" hidden="1" x14ac:dyDescent="0.2">
      <c r="A89" t="s">
        <v>82</v>
      </c>
      <c r="E89" s="38">
        <v>-291477</v>
      </c>
      <c r="F89" s="69"/>
      <c r="G89" s="69"/>
      <c r="H89" s="76">
        <v>-291477</v>
      </c>
      <c r="I89" s="69"/>
      <c r="J89" s="69"/>
      <c r="K89" s="76">
        <v>-291477</v>
      </c>
      <c r="L89" s="69"/>
      <c r="M89" s="69"/>
      <c r="N89" s="76">
        <v>-291477</v>
      </c>
    </row>
    <row r="90" spans="1:14" hidden="1" x14ac:dyDescent="0.2">
      <c r="A90" t="s">
        <v>84</v>
      </c>
      <c r="C90" s="18">
        <v>142</v>
      </c>
      <c r="D90" s="4">
        <v>11410.862999999999</v>
      </c>
      <c r="E90" s="38">
        <f>-D90*C90</f>
        <v>-1620342.5459999999</v>
      </c>
      <c r="F90" s="74">
        <v>142</v>
      </c>
      <c r="G90" s="75">
        <v>11410.862999999999</v>
      </c>
      <c r="H90" s="76">
        <f>-G90*F90</f>
        <v>-1620342.5459999999</v>
      </c>
      <c r="I90" s="74">
        <v>142</v>
      </c>
      <c r="J90" s="75">
        <v>11410.862999999999</v>
      </c>
      <c r="K90" s="76">
        <f>-J90*I90</f>
        <v>-1620342.5459999999</v>
      </c>
      <c r="L90" s="74">
        <v>142</v>
      </c>
      <c r="M90" s="75">
        <v>11410.862999999999</v>
      </c>
      <c r="N90" s="76">
        <f>-M90*L90</f>
        <v>-1620342.5459999999</v>
      </c>
    </row>
    <row r="91" spans="1:14" hidden="1" x14ac:dyDescent="0.2">
      <c r="A91" s="1" t="s">
        <v>8</v>
      </c>
      <c r="B91" s="36"/>
      <c r="C91" s="18">
        <f>E91/D91</f>
        <v>104.31785408451852</v>
      </c>
      <c r="D91" s="23">
        <f>D37</f>
        <v>243168.90600000002</v>
      </c>
      <c r="E91" s="43">
        <f>SUM(E86:E90)</f>
        <v>25366858.454</v>
      </c>
      <c r="F91" s="74">
        <f>H91/G91</f>
        <v>104.31785408451852</v>
      </c>
      <c r="G91" s="84">
        <f>G37</f>
        <v>243168.90600000002</v>
      </c>
      <c r="H91" s="81">
        <f>SUM(H86:H90)</f>
        <v>25366858.454</v>
      </c>
      <c r="I91" s="74">
        <f>K91/J91</f>
        <v>104.31785408451852</v>
      </c>
      <c r="J91" s="84">
        <f>J37</f>
        <v>243168.90600000002</v>
      </c>
      <c r="K91" s="81">
        <f>SUM(K86:K90)</f>
        <v>25366858.454</v>
      </c>
      <c r="L91" s="74">
        <f>N91/M91</f>
        <v>104.31785408451852</v>
      </c>
      <c r="M91" s="84">
        <f>M37</f>
        <v>243168.90600000002</v>
      </c>
      <c r="N91" s="81">
        <f>SUM(N86:N90)</f>
        <v>25366858.454</v>
      </c>
    </row>
    <row r="92" spans="1:14" hidden="1" x14ac:dyDescent="0.2">
      <c r="A92" t="s">
        <v>73</v>
      </c>
      <c r="C92" s="18">
        <f>E92/D91</f>
        <v>11.058663067719685</v>
      </c>
      <c r="E92" s="38">
        <v>2689123</v>
      </c>
      <c r="F92" s="74">
        <f>H92/G91</f>
        <v>11.058663067719685</v>
      </c>
      <c r="G92" s="69"/>
      <c r="H92" s="76">
        <v>2689123</v>
      </c>
      <c r="I92" s="74">
        <f>K92/J91</f>
        <v>11.058663067719685</v>
      </c>
      <c r="J92" s="69"/>
      <c r="K92" s="76">
        <v>2689123</v>
      </c>
      <c r="L92" s="74">
        <f>N92/M91</f>
        <v>11.058663067719685</v>
      </c>
      <c r="M92" s="69"/>
      <c r="N92" s="76">
        <v>2689123</v>
      </c>
    </row>
    <row r="93" spans="1:14" hidden="1" x14ac:dyDescent="0.2">
      <c r="F93" s="69"/>
      <c r="G93" s="69"/>
      <c r="H93" s="70"/>
      <c r="I93" s="69"/>
      <c r="J93" s="69"/>
      <c r="K93" s="70"/>
      <c r="L93" s="69"/>
      <c r="M93" s="69"/>
      <c r="N93" s="70"/>
    </row>
    <row r="94" spans="1:14" hidden="1" x14ac:dyDescent="0.2">
      <c r="F94" s="69"/>
      <c r="G94" s="69"/>
      <c r="H94" s="70"/>
      <c r="I94" s="69"/>
      <c r="J94" s="69"/>
      <c r="K94" s="70"/>
      <c r="L94" s="69"/>
      <c r="M94" s="69"/>
      <c r="N94" s="70"/>
    </row>
    <row r="95" spans="1:14" hidden="1" x14ac:dyDescent="0.2">
      <c r="A95" t="s">
        <v>85</v>
      </c>
      <c r="F95" s="69"/>
      <c r="G95" s="69"/>
      <c r="H95" s="70"/>
      <c r="I95" s="69"/>
      <c r="J95" s="69"/>
      <c r="K95" s="70"/>
      <c r="L95" s="69"/>
      <c r="M95" s="69"/>
      <c r="N95" s="70"/>
    </row>
    <row r="96" spans="1:14" hidden="1" x14ac:dyDescent="0.2">
      <c r="A96" t="s">
        <v>86</v>
      </c>
      <c r="E96" s="38">
        <v>3940867</v>
      </c>
      <c r="F96" s="69"/>
      <c r="G96" s="69"/>
      <c r="H96" s="76">
        <v>3940867</v>
      </c>
      <c r="I96" s="69"/>
      <c r="J96" s="69"/>
      <c r="K96" s="76">
        <v>3940867</v>
      </c>
      <c r="L96" s="69"/>
      <c r="M96" s="69"/>
      <c r="N96" s="76">
        <v>3940867</v>
      </c>
    </row>
    <row r="97" spans="1:14" hidden="1" x14ac:dyDescent="0.2">
      <c r="A97" t="s">
        <v>87</v>
      </c>
      <c r="E97" s="38">
        <v>-5015317</v>
      </c>
      <c r="F97" s="69"/>
      <c r="G97" s="69"/>
      <c r="H97" s="76">
        <v>-5015317</v>
      </c>
      <c r="I97" s="69"/>
      <c r="J97" s="69"/>
      <c r="K97" s="76">
        <v>-5015317</v>
      </c>
      <c r="L97" s="69"/>
      <c r="M97" s="69"/>
      <c r="N97" s="76">
        <v>-5015317</v>
      </c>
    </row>
    <row r="98" spans="1:14" hidden="1" x14ac:dyDescent="0.2">
      <c r="A98" t="s">
        <v>88</v>
      </c>
      <c r="E98" s="38">
        <v>-2902474</v>
      </c>
      <c r="F98" s="69"/>
      <c r="G98" s="69"/>
      <c r="H98" s="76">
        <v>-2902474</v>
      </c>
      <c r="I98" s="69"/>
      <c r="J98" s="69"/>
      <c r="K98" s="76">
        <v>-2902474</v>
      </c>
      <c r="L98" s="69"/>
      <c r="M98" s="69"/>
      <c r="N98" s="76">
        <v>-2902474</v>
      </c>
    </row>
    <row r="99" spans="1:14" hidden="1" x14ac:dyDescent="0.2">
      <c r="A99" s="1" t="s">
        <v>8</v>
      </c>
      <c r="B99" s="36"/>
      <c r="C99" s="20">
        <f>E99/D91</f>
        <v>-16.354574544164787</v>
      </c>
      <c r="D99" s="1"/>
      <c r="E99" s="43">
        <f>SUM(E96:E98)</f>
        <v>-3976924</v>
      </c>
      <c r="F99" s="80">
        <f>H99/G91</f>
        <v>-16.354574544164787</v>
      </c>
      <c r="G99" s="72"/>
      <c r="H99" s="81">
        <f>SUM(H96:H98)</f>
        <v>-3976924</v>
      </c>
      <c r="I99" s="80">
        <f>K99/J91</f>
        <v>-16.354574544164787</v>
      </c>
      <c r="J99" s="72"/>
      <c r="K99" s="81">
        <f>SUM(K96:K98)</f>
        <v>-3976924</v>
      </c>
      <c r="L99" s="80">
        <f>N99/M91</f>
        <v>-16.354574544164787</v>
      </c>
      <c r="M99" s="72"/>
      <c r="N99" s="81">
        <f>SUM(N96:N98)</f>
        <v>-3976924</v>
      </c>
    </row>
    <row r="100" spans="1:14" hidden="1" x14ac:dyDescent="0.2">
      <c r="A100" s="1" t="s">
        <v>89</v>
      </c>
      <c r="B100" s="36"/>
      <c r="C100" s="21">
        <f>C99+C92+C91</f>
        <v>99.021942608073417</v>
      </c>
      <c r="F100" s="83">
        <f>F99+F92+F91</f>
        <v>99.021942608073417</v>
      </c>
      <c r="G100" s="69"/>
      <c r="H100" s="70"/>
      <c r="I100" s="83">
        <f>I99+I92+I91</f>
        <v>99.021942608073417</v>
      </c>
      <c r="J100" s="69"/>
      <c r="K100" s="70"/>
      <c r="L100" s="83">
        <f>L99+L92+L91</f>
        <v>99.021942608073417</v>
      </c>
      <c r="M100" s="69"/>
      <c r="N100" s="70"/>
    </row>
    <row r="101" spans="1:14" hidden="1" x14ac:dyDescent="0.2">
      <c r="F101" s="69"/>
      <c r="G101" s="69"/>
      <c r="H101" s="70"/>
      <c r="I101" s="69"/>
      <c r="J101" s="69"/>
      <c r="K101" s="70"/>
      <c r="L101" s="69"/>
      <c r="M101" s="69"/>
      <c r="N101" s="70"/>
    </row>
    <row r="102" spans="1:14" hidden="1" x14ac:dyDescent="0.2">
      <c r="A102" s="1" t="s">
        <v>91</v>
      </c>
      <c r="B102" s="36"/>
      <c r="F102" s="69"/>
      <c r="G102" s="69"/>
      <c r="H102" s="70"/>
      <c r="I102" s="69"/>
      <c r="J102" s="69"/>
      <c r="K102" s="70"/>
      <c r="L102" s="69"/>
      <c r="M102" s="69"/>
      <c r="N102" s="70"/>
    </row>
    <row r="103" spans="1:14" hidden="1" x14ac:dyDescent="0.2">
      <c r="A103" s="1" t="s">
        <v>90</v>
      </c>
      <c r="B103" s="36"/>
      <c r="C103" s="20">
        <v>171.34</v>
      </c>
      <c r="F103" s="80">
        <v>171.34</v>
      </c>
      <c r="G103" s="69"/>
      <c r="H103" s="70"/>
      <c r="I103" s="80">
        <v>171.34</v>
      </c>
      <c r="J103" s="69"/>
      <c r="K103" s="70"/>
      <c r="L103" s="80">
        <v>171.34</v>
      </c>
      <c r="M103" s="69"/>
      <c r="N103" s="70"/>
    </row>
    <row r="104" spans="1:14" ht="17" hidden="1" thickBot="1" x14ac:dyDescent="0.25">
      <c r="F104" s="69"/>
      <c r="G104" s="69"/>
      <c r="H104" s="70"/>
      <c r="I104" s="69"/>
      <c r="J104" s="69"/>
      <c r="K104" s="70"/>
      <c r="L104" s="69"/>
      <c r="M104" s="69"/>
      <c r="N104" s="70"/>
    </row>
    <row r="105" spans="1:14" s="24" customFormat="1" ht="18" thickTop="1" thickBot="1" x14ac:dyDescent="0.25">
      <c r="A105" s="25" t="s">
        <v>92</v>
      </c>
      <c r="B105" s="91"/>
      <c r="C105" s="24" t="s">
        <v>102</v>
      </c>
      <c r="D105" s="24" t="s">
        <v>1</v>
      </c>
      <c r="E105" s="40" t="s">
        <v>101</v>
      </c>
      <c r="F105" s="24" t="s">
        <v>102</v>
      </c>
      <c r="G105" s="24" t="s">
        <v>1</v>
      </c>
      <c r="H105" s="40" t="s">
        <v>101</v>
      </c>
      <c r="I105" s="24" t="s">
        <v>102</v>
      </c>
      <c r="J105" s="24" t="s">
        <v>1</v>
      </c>
      <c r="K105" s="40" t="s">
        <v>101</v>
      </c>
      <c r="L105" s="24" t="s">
        <v>102</v>
      </c>
      <c r="M105" s="24" t="s">
        <v>1</v>
      </c>
      <c r="N105" s="40" t="s">
        <v>101</v>
      </c>
    </row>
    <row r="106" spans="1:14" x14ac:dyDescent="0.2">
      <c r="A106" s="1" t="s">
        <v>21</v>
      </c>
      <c r="B106" s="36"/>
    </row>
    <row r="107" spans="1:14" x14ac:dyDescent="0.2">
      <c r="A107" t="s">
        <v>93</v>
      </c>
      <c r="B107" s="39">
        <f>'MV provided # in FOI'!B107</f>
        <v>54.662521325627743</v>
      </c>
      <c r="C107" s="19"/>
      <c r="D107" s="6">
        <f>D26</f>
        <v>405659.62599999999</v>
      </c>
      <c r="E107" s="94">
        <f>C107*D107</f>
        <v>0</v>
      </c>
      <c r="F107" s="19"/>
      <c r="G107" s="6">
        <f>G26</f>
        <v>405659.62599999999</v>
      </c>
      <c r="H107" s="94">
        <f>F107*G107</f>
        <v>0</v>
      </c>
      <c r="I107" s="19"/>
      <c r="J107" s="6">
        <f>J26</f>
        <v>405659.62599999999</v>
      </c>
      <c r="K107" s="94">
        <f>I107*J107</f>
        <v>0</v>
      </c>
      <c r="L107" s="19"/>
      <c r="M107" s="6">
        <f>M26</f>
        <v>405659.62599999999</v>
      </c>
      <c r="N107" s="94">
        <f>L107*M107</f>
        <v>0</v>
      </c>
    </row>
    <row r="108" spans="1:14" x14ac:dyDescent="0.2">
      <c r="A108" t="s">
        <v>94</v>
      </c>
      <c r="B108" s="39">
        <f>'MV provided # in FOI'!B108</f>
        <v>19.18</v>
      </c>
      <c r="C108" s="19">
        <f>C51</f>
        <v>19.18</v>
      </c>
      <c r="D108" s="22">
        <f>D107</f>
        <v>405659.62599999999</v>
      </c>
      <c r="E108" s="48">
        <f>C108*D108</f>
        <v>7780551.6266799998</v>
      </c>
      <c r="F108" s="19">
        <f>F51</f>
        <v>19.18</v>
      </c>
      <c r="G108" s="22">
        <f>G107</f>
        <v>405659.62599999999</v>
      </c>
      <c r="H108" s="48">
        <f>F108*G108</f>
        <v>7780551.6266799998</v>
      </c>
      <c r="I108" s="19">
        <f>I51</f>
        <v>19.18</v>
      </c>
      <c r="J108" s="22">
        <f>J107</f>
        <v>405659.62599999999</v>
      </c>
      <c r="K108" s="48">
        <f>I108*J108</f>
        <v>7780551.6266799998</v>
      </c>
      <c r="L108" s="19">
        <f>L51</f>
        <v>19.18</v>
      </c>
      <c r="M108" s="22">
        <f>M107</f>
        <v>405659.62599999999</v>
      </c>
      <c r="N108" s="48">
        <f>L108*M108</f>
        <v>7780551.6266799998</v>
      </c>
    </row>
    <row r="109" spans="1:14" x14ac:dyDescent="0.2">
      <c r="A109" t="s">
        <v>95</v>
      </c>
      <c r="B109" s="39">
        <f>'MV provided # in FOI'!B109</f>
        <v>0</v>
      </c>
    </row>
    <row r="110" spans="1:14" x14ac:dyDescent="0.2">
      <c r="A110" t="s">
        <v>97</v>
      </c>
      <c r="B110" s="39">
        <f>'MV provided # in FOI'!B110</f>
        <v>49.235157584887567</v>
      </c>
      <c r="C110" s="19">
        <f>C63</f>
        <v>49.235157584887567</v>
      </c>
      <c r="D110" s="6">
        <f>D27</f>
        <v>509495.04599999997</v>
      </c>
      <c r="F110" s="19">
        <f>F63</f>
        <v>49.235157584887567</v>
      </c>
      <c r="G110" s="6">
        <f>G27</f>
        <v>509495.04599999997</v>
      </c>
      <c r="I110" s="19">
        <f>I63</f>
        <v>49.235157584887567</v>
      </c>
      <c r="J110" s="6">
        <f>J27</f>
        <v>509495.04599999997</v>
      </c>
      <c r="L110" s="19">
        <f>L63</f>
        <v>49.235157584887567</v>
      </c>
      <c r="M110" s="6">
        <f>M27</f>
        <v>509495.04599999997</v>
      </c>
    </row>
    <row r="111" spans="1:14" x14ac:dyDescent="0.2">
      <c r="A111" t="s">
        <v>96</v>
      </c>
      <c r="B111" s="39">
        <f>'MV provided # in FOI'!B111</f>
        <v>4.8</v>
      </c>
      <c r="C111" s="19">
        <f>C54</f>
        <v>4.8</v>
      </c>
      <c r="F111" s="19">
        <f>F54</f>
        <v>4.8</v>
      </c>
      <c r="I111" s="19">
        <f>I54</f>
        <v>4.8</v>
      </c>
      <c r="L111" s="19">
        <f>L54</f>
        <v>4.8</v>
      </c>
    </row>
    <row r="112" spans="1:14" x14ac:dyDescent="0.2">
      <c r="A112" t="s">
        <v>99</v>
      </c>
      <c r="B112" s="39">
        <f>'MV provided # in FOI'!B112</f>
        <v>0.3407474279936375</v>
      </c>
      <c r="C112" s="18">
        <f>277997*0.6245/D110</f>
        <v>0.3407474279936375</v>
      </c>
      <c r="F112" s="18">
        <f>277997*0.6245/G110</f>
        <v>0.3407474279936375</v>
      </c>
      <c r="I112" s="18">
        <f>277997*0.6245/J110</f>
        <v>0.3407474279936375</v>
      </c>
      <c r="L112" s="18">
        <f>277997*0.6245/M110</f>
        <v>0.3407474279936375</v>
      </c>
    </row>
    <row r="113" spans="1:14" x14ac:dyDescent="0.2">
      <c r="A113" t="s">
        <v>98</v>
      </c>
      <c r="B113" s="39">
        <f>'MV provided # in FOI'!B113</f>
        <v>10</v>
      </c>
      <c r="C113" s="18">
        <f>C55</f>
        <v>10</v>
      </c>
      <c r="F113" s="18">
        <f>F55</f>
        <v>10</v>
      </c>
      <c r="I113" s="18">
        <f>I55</f>
        <v>10</v>
      </c>
      <c r="L113" s="18">
        <f>L55</f>
        <v>10</v>
      </c>
    </row>
    <row r="114" spans="1:14" x14ac:dyDescent="0.2">
      <c r="A114" s="1" t="s">
        <v>100</v>
      </c>
      <c r="B114" s="47">
        <f>'MV provided # in FOI'!B114</f>
        <v>64.375905012881205</v>
      </c>
      <c r="C114" s="21">
        <f>SUM(C110:C113)</f>
        <v>64.375905012881205</v>
      </c>
      <c r="E114" s="48">
        <f>32801889</f>
        <v>32801889</v>
      </c>
      <c r="F114" s="21">
        <f>SUM(F110:F113)</f>
        <v>64.375905012881205</v>
      </c>
      <c r="H114" s="48">
        <f>32801889</f>
        <v>32801889</v>
      </c>
      <c r="I114" s="21">
        <f>SUM(I110:I113)</f>
        <v>64.375905012881205</v>
      </c>
      <c r="K114" s="48">
        <f>32801889</f>
        <v>32801889</v>
      </c>
      <c r="L114" s="21">
        <f>SUM(L110:L113)</f>
        <v>64.375905012881205</v>
      </c>
      <c r="N114" s="48">
        <f>32801889</f>
        <v>32801889</v>
      </c>
    </row>
    <row r="115" spans="1:14" s="87" customFormat="1" x14ac:dyDescent="0.2">
      <c r="A115" s="85" t="s">
        <v>111</v>
      </c>
      <c r="B115" s="92">
        <f>'MV provided # in FOI'!B115</f>
        <v>123.17454129642543</v>
      </c>
      <c r="C115" s="86">
        <f>E115/D110</f>
        <v>79.652277181670584</v>
      </c>
      <c r="E115" s="88">
        <f>E114+E108+E107</f>
        <v>40582440.626680002</v>
      </c>
      <c r="F115" s="86">
        <f>H115/G110</f>
        <v>79.652277181670584</v>
      </c>
      <c r="H115" s="88">
        <f>H114+H108+H107</f>
        <v>40582440.626680002</v>
      </c>
      <c r="I115" s="86">
        <f>K115/J110</f>
        <v>79.652277181670584</v>
      </c>
      <c r="K115" s="88">
        <f>K114+K108+K107</f>
        <v>40582440.626680002</v>
      </c>
      <c r="L115" s="86">
        <f>N115/M110</f>
        <v>79.652277181670584</v>
      </c>
      <c r="N115" s="88">
        <f>N114+N108+N107</f>
        <v>40582440.626680002</v>
      </c>
    </row>
    <row r="116" spans="1:14" x14ac:dyDescent="0.2">
      <c r="B116" s="39">
        <f>'MV provided # in FOI'!B116</f>
        <v>0</v>
      </c>
    </row>
    <row r="117" spans="1:14" x14ac:dyDescent="0.2">
      <c r="A117" s="1" t="s">
        <v>30</v>
      </c>
      <c r="B117" s="39">
        <f>'MV provided # in FOI'!B117</f>
        <v>0</v>
      </c>
    </row>
    <row r="118" spans="1:14" x14ac:dyDescent="0.2">
      <c r="A118" t="s">
        <v>104</v>
      </c>
      <c r="B118" s="39">
        <f>'MV provided # in FOI'!B118</f>
        <v>54.662521325627743</v>
      </c>
      <c r="C118" s="19">
        <f>C107</f>
        <v>0</v>
      </c>
      <c r="D118" s="22">
        <f>D34</f>
        <v>84195.767000000007</v>
      </c>
      <c r="E118" s="94">
        <f>D118*C118</f>
        <v>0</v>
      </c>
      <c r="F118" s="19">
        <f>F107</f>
        <v>0</v>
      </c>
      <c r="G118" s="22">
        <f>G34</f>
        <v>84195.767000000007</v>
      </c>
      <c r="H118" s="94">
        <f>G118*F118</f>
        <v>0</v>
      </c>
      <c r="I118" s="19">
        <f>I107</f>
        <v>0</v>
      </c>
      <c r="J118" s="22">
        <f>J34</f>
        <v>84195.767000000007</v>
      </c>
      <c r="K118" s="94">
        <f>J118*I118</f>
        <v>0</v>
      </c>
      <c r="L118" s="19">
        <f>L107</f>
        <v>0</v>
      </c>
      <c r="M118" s="22">
        <f>M34</f>
        <v>84195.767000000007</v>
      </c>
      <c r="N118" s="94">
        <f>M118*L118</f>
        <v>0</v>
      </c>
    </row>
    <row r="119" spans="1:14" x14ac:dyDescent="0.2">
      <c r="A119" t="s">
        <v>103</v>
      </c>
      <c r="B119" s="39">
        <f>'MV provided # in FOI'!B119</f>
        <v>14.19</v>
      </c>
      <c r="C119" s="19">
        <f>C50</f>
        <v>14.19</v>
      </c>
      <c r="E119" s="48">
        <f>D118*C119</f>
        <v>1194737.9337300002</v>
      </c>
      <c r="F119" s="19">
        <f>F50</f>
        <v>14.19</v>
      </c>
      <c r="H119" s="48">
        <f>G118*F119</f>
        <v>1194737.9337300002</v>
      </c>
      <c r="I119" s="19">
        <f>I50</f>
        <v>14.19</v>
      </c>
      <c r="K119" s="48">
        <f>J118*I119</f>
        <v>1194737.9337300002</v>
      </c>
      <c r="L119" s="19">
        <f>L50</f>
        <v>14.19</v>
      </c>
      <c r="N119" s="48">
        <f>M118*L119</f>
        <v>1194737.9337300002</v>
      </c>
    </row>
    <row r="120" spans="1:14" x14ac:dyDescent="0.2">
      <c r="A120" t="s">
        <v>105</v>
      </c>
      <c r="B120" s="39">
        <f>'MV provided # in FOI'!B120</f>
        <v>0</v>
      </c>
      <c r="E120" s="48"/>
      <c r="H120" s="48"/>
      <c r="K120" s="48"/>
      <c r="N120" s="48"/>
    </row>
    <row r="121" spans="1:14" x14ac:dyDescent="0.2">
      <c r="A121" t="s">
        <v>106</v>
      </c>
      <c r="B121" s="39">
        <f>'MV provided # in FOI'!B121</f>
        <v>0</v>
      </c>
      <c r="D121" s="22">
        <f>D91</f>
        <v>243168.90600000002</v>
      </c>
      <c r="E121" s="49">
        <f>E86</f>
        <v>30432853</v>
      </c>
      <c r="G121" s="22">
        <f>G91</f>
        <v>243168.90600000002</v>
      </c>
      <c r="H121" s="49">
        <f>H86</f>
        <v>30432853</v>
      </c>
      <c r="J121" s="22">
        <f>J91</f>
        <v>243168.90600000002</v>
      </c>
      <c r="K121" s="49">
        <f>K86</f>
        <v>30432853</v>
      </c>
      <c r="M121" s="22">
        <f>M91</f>
        <v>243168.90600000002</v>
      </c>
      <c r="N121" s="93"/>
    </row>
    <row r="122" spans="1:14" x14ac:dyDescent="0.2">
      <c r="A122" t="s">
        <v>110</v>
      </c>
      <c r="B122" s="39">
        <f>'MV provided # in FOI'!B122</f>
        <v>0</v>
      </c>
      <c r="E122" s="49">
        <f>E87</f>
        <v>494971</v>
      </c>
      <c r="H122" s="49">
        <f>H87</f>
        <v>494971</v>
      </c>
      <c r="K122" s="49">
        <f>K87</f>
        <v>494971</v>
      </c>
      <c r="N122" s="93"/>
    </row>
    <row r="123" spans="1:14" x14ac:dyDescent="0.2">
      <c r="A123" t="s">
        <v>107</v>
      </c>
      <c r="B123" s="39">
        <f>'MV provided # in FOI'!B123</f>
        <v>0</v>
      </c>
      <c r="E123" s="49">
        <f>E121+E122</f>
        <v>30927824</v>
      </c>
      <c r="H123" s="49">
        <f>H121+H122</f>
        <v>30927824</v>
      </c>
      <c r="K123" s="49">
        <f>K121+K122</f>
        <v>30927824</v>
      </c>
      <c r="N123" s="93">
        <f>245000000/5</f>
        <v>49000000</v>
      </c>
    </row>
    <row r="124" spans="1:14" x14ac:dyDescent="0.2">
      <c r="A124" t="s">
        <v>108</v>
      </c>
      <c r="B124" s="39">
        <f>'MV provided # in FOI'!B124</f>
        <v>0</v>
      </c>
      <c r="E124" s="93">
        <f>'MV provided # in FOI'!E88</f>
        <v>-6254000</v>
      </c>
      <c r="H124" s="93">
        <f>E124</f>
        <v>-6254000</v>
      </c>
      <c r="K124" s="93">
        <f>H124</f>
        <v>-6254000</v>
      </c>
      <c r="N124" s="93">
        <f>K124</f>
        <v>-6254000</v>
      </c>
    </row>
    <row r="125" spans="1:14" x14ac:dyDescent="0.2">
      <c r="A125" t="s">
        <v>109</v>
      </c>
      <c r="B125" s="39">
        <f>'MV provided # in FOI'!B125</f>
        <v>0</v>
      </c>
      <c r="E125" s="49">
        <f>E89</f>
        <v>-291477</v>
      </c>
      <c r="H125" s="49">
        <f>H89</f>
        <v>-291477</v>
      </c>
      <c r="K125" s="49">
        <f>K89</f>
        <v>-291477</v>
      </c>
      <c r="N125" s="49">
        <f>N89</f>
        <v>-291477</v>
      </c>
    </row>
    <row r="126" spans="1:14" x14ac:dyDescent="0.2">
      <c r="A126" t="s">
        <v>112</v>
      </c>
      <c r="B126" s="39">
        <f>'MV provided # in FOI'!B126</f>
        <v>0</v>
      </c>
      <c r="E126" s="49">
        <f>E90</f>
        <v>-1620342.5459999999</v>
      </c>
      <c r="H126" s="93"/>
      <c r="K126" s="93"/>
      <c r="N126" s="93"/>
    </row>
    <row r="127" spans="1:14" x14ac:dyDescent="0.2">
      <c r="A127" t="s">
        <v>113</v>
      </c>
      <c r="B127" s="39">
        <f>'MV provided # in FOI'!B127</f>
        <v>0</v>
      </c>
      <c r="E127" s="49">
        <f>SUM(E124:E126)</f>
        <v>-8165819.5460000001</v>
      </c>
      <c r="H127" s="49">
        <f>SUM(H124:H126)</f>
        <v>-6545477</v>
      </c>
      <c r="K127" s="49">
        <f>SUM(K124:K126)</f>
        <v>-6545477</v>
      </c>
      <c r="N127" s="49">
        <f>SUM(N124:N126)</f>
        <v>-6545477</v>
      </c>
    </row>
    <row r="128" spans="1:14" x14ac:dyDescent="0.2">
      <c r="A128" s="1" t="s">
        <v>114</v>
      </c>
      <c r="B128" s="39">
        <f>'MV provided # in FOI'!B128</f>
        <v>0</v>
      </c>
      <c r="E128" s="49">
        <f>E123+E127</f>
        <v>22762004.454</v>
      </c>
      <c r="H128" s="49">
        <f>H123+H127</f>
        <v>24382347</v>
      </c>
      <c r="K128" s="49">
        <f>K123+K127</f>
        <v>24382347</v>
      </c>
      <c r="N128" s="49">
        <f>N123+N127</f>
        <v>42454523</v>
      </c>
    </row>
    <row r="129" spans="1:14" x14ac:dyDescent="0.2">
      <c r="A129" t="s">
        <v>115</v>
      </c>
      <c r="B129" s="39">
        <f>'MV provided # in FOI'!B129</f>
        <v>0</v>
      </c>
      <c r="E129" s="93">
        <v>0</v>
      </c>
      <c r="H129" s="93">
        <v>0</v>
      </c>
      <c r="K129" s="93">
        <v>0</v>
      </c>
      <c r="N129" s="93">
        <v>0</v>
      </c>
    </row>
    <row r="130" spans="1:14" x14ac:dyDescent="0.2">
      <c r="A130" t="s">
        <v>116</v>
      </c>
      <c r="B130" s="39">
        <f>'MV provided # in FOI'!B130</f>
        <v>0</v>
      </c>
      <c r="E130" s="93">
        <v>0</v>
      </c>
      <c r="H130" s="93">
        <v>0</v>
      </c>
      <c r="K130" s="93">
        <v>0</v>
      </c>
      <c r="N130" s="93">
        <v>0</v>
      </c>
    </row>
    <row r="131" spans="1:14" x14ac:dyDescent="0.2">
      <c r="A131" t="s">
        <v>117</v>
      </c>
      <c r="B131" s="39">
        <f>'MV provided # in FOI'!B131</f>
        <v>0</v>
      </c>
      <c r="E131" s="93">
        <v>0</v>
      </c>
      <c r="H131" s="93">
        <v>0</v>
      </c>
      <c r="K131" s="93">
        <v>0</v>
      </c>
      <c r="N131" s="93">
        <v>0</v>
      </c>
    </row>
    <row r="132" spans="1:14" x14ac:dyDescent="0.2">
      <c r="A132" t="s">
        <v>118</v>
      </c>
      <c r="B132" s="39">
        <f>'MV provided # in FOI'!B132</f>
        <v>0</v>
      </c>
      <c r="E132" s="93">
        <v>0</v>
      </c>
      <c r="H132" s="93">
        <v>0</v>
      </c>
      <c r="K132" s="93">
        <v>0</v>
      </c>
      <c r="N132" s="93">
        <v>0</v>
      </c>
    </row>
    <row r="133" spans="1:14" x14ac:dyDescent="0.2">
      <c r="A133" t="s">
        <v>119</v>
      </c>
      <c r="B133" s="39">
        <f>'MV provided # in FOI'!B133</f>
        <v>0</v>
      </c>
      <c r="E133" s="49">
        <f>'MV provided # in FOI'!D133</f>
        <v>2689123</v>
      </c>
      <c r="H133" s="49">
        <f>E133</f>
        <v>2689123</v>
      </c>
      <c r="K133" s="93">
        <f>0.253*12465602</f>
        <v>3153797.3059999999</v>
      </c>
      <c r="N133" s="93">
        <f>0.253*12465602</f>
        <v>3153797.3059999999</v>
      </c>
    </row>
    <row r="134" spans="1:14" x14ac:dyDescent="0.2">
      <c r="A134" s="1" t="s">
        <v>120</v>
      </c>
      <c r="B134" s="39">
        <f>'MV provided # in FOI'!B134</f>
        <v>99.021942608073417</v>
      </c>
      <c r="C134" s="18">
        <f>E134/D134</f>
        <v>104.66439921393568</v>
      </c>
      <c r="D134" s="22">
        <f>D121</f>
        <v>243168.90600000002</v>
      </c>
      <c r="E134" s="49">
        <f>E128+E129+E132+E133</f>
        <v>25451127.454</v>
      </c>
      <c r="F134" s="18">
        <f>H134/G134</f>
        <v>111.32784386503758</v>
      </c>
      <c r="G134" s="22">
        <f>G121</f>
        <v>243168.90600000002</v>
      </c>
      <c r="H134" s="49">
        <f>H128+H129+H132+H133</f>
        <v>27071470</v>
      </c>
      <c r="I134" s="18">
        <f>K134/J134</f>
        <v>113.23875555865683</v>
      </c>
      <c r="J134" s="22">
        <f>J121</f>
        <v>243168.90600000002</v>
      </c>
      <c r="K134" s="49">
        <f>K128+K129+K132+K133</f>
        <v>27536144.306000002</v>
      </c>
      <c r="L134" s="18">
        <f>N134/M134</f>
        <v>187.5581917780228</v>
      </c>
      <c r="M134" s="22">
        <f>M121</f>
        <v>243168.90600000002</v>
      </c>
      <c r="N134" s="49">
        <f>N128+N129+N132+N133</f>
        <v>45608320.306000002</v>
      </c>
    </row>
    <row r="135" spans="1:14" s="87" customFormat="1" x14ac:dyDescent="0.2">
      <c r="A135" s="85" t="s">
        <v>121</v>
      </c>
      <c r="B135" s="92">
        <f>'MV provided # in FOI'!B135</f>
        <v>122.86171282480944</v>
      </c>
      <c r="C135" s="89">
        <f>E135/D134</f>
        <v>109.57760112524419</v>
      </c>
      <c r="D135" s="85"/>
      <c r="E135" s="90">
        <f>E134+E118+E119</f>
        <v>26645865.387729999</v>
      </c>
      <c r="F135" s="89">
        <f>H135/G134</f>
        <v>116.24104577634608</v>
      </c>
      <c r="G135" s="85"/>
      <c r="H135" s="90">
        <f>H134+H118+H119</f>
        <v>28266207.933729999</v>
      </c>
      <c r="I135" s="89">
        <f>K135/J134</f>
        <v>118.15195746996534</v>
      </c>
      <c r="J135" s="85"/>
      <c r="K135" s="90">
        <f>K134+K118+K119</f>
        <v>28730882.23973</v>
      </c>
      <c r="L135" s="89">
        <f>N135/M134</f>
        <v>192.47139368933131</v>
      </c>
      <c r="M135" s="85"/>
      <c r="N135" s="90">
        <f>N134+N118+N119</f>
        <v>46803058.23973</v>
      </c>
    </row>
    <row r="136" spans="1:14" x14ac:dyDescent="0.2">
      <c r="B136" s="39">
        <f>'MV provided # in FOI'!B136</f>
        <v>0</v>
      </c>
    </row>
    <row r="137" spans="1:14" x14ac:dyDescent="0.2">
      <c r="A137" s="1" t="s">
        <v>122</v>
      </c>
      <c r="B137" s="39">
        <f>'MV provided # in FOI'!B137</f>
        <v>0</v>
      </c>
    </row>
    <row r="138" spans="1:14" x14ac:dyDescent="0.2">
      <c r="A138" t="s">
        <v>123</v>
      </c>
      <c r="B138" s="39">
        <f>'MV provided # in FOI'!B138</f>
        <v>54.662521325627743</v>
      </c>
      <c r="C138" s="19">
        <f>C118</f>
        <v>0</v>
      </c>
      <c r="D138" s="22">
        <f>D52</f>
        <v>151539.26799999998</v>
      </c>
      <c r="E138" s="48">
        <f>C138*D138</f>
        <v>0</v>
      </c>
      <c r="F138" s="19">
        <f>F118</f>
        <v>0</v>
      </c>
      <c r="G138" s="22">
        <f>G52</f>
        <v>151539.26799999998</v>
      </c>
      <c r="H138" s="48">
        <f>F138*G138</f>
        <v>0</v>
      </c>
      <c r="I138" s="19">
        <f>I118</f>
        <v>0</v>
      </c>
      <c r="J138" s="22">
        <f>J52</f>
        <v>151539.26799999998</v>
      </c>
      <c r="K138" s="48">
        <f>I138*J138</f>
        <v>0</v>
      </c>
      <c r="L138" s="19">
        <f>L118</f>
        <v>0</v>
      </c>
      <c r="M138" s="22">
        <f>M52</f>
        <v>151539.26799999998</v>
      </c>
      <c r="N138" s="48">
        <f>L138*M138</f>
        <v>0</v>
      </c>
    </row>
    <row r="139" spans="1:14" x14ac:dyDescent="0.2">
      <c r="A139" t="s">
        <v>124</v>
      </c>
      <c r="B139" s="39">
        <f>'MV provided # in FOI'!B139</f>
        <v>171.34</v>
      </c>
      <c r="C139" s="19">
        <f>C103</f>
        <v>171.34</v>
      </c>
      <c r="D139" s="22">
        <f>D52</f>
        <v>151539.26799999998</v>
      </c>
      <c r="E139" s="48">
        <f>D138*C139</f>
        <v>25964738.179119997</v>
      </c>
      <c r="F139" s="19">
        <f>F103</f>
        <v>171.34</v>
      </c>
      <c r="G139" s="22">
        <f>G52</f>
        <v>151539.26799999998</v>
      </c>
      <c r="H139" s="48">
        <f>G138*F139</f>
        <v>25964738.179119997</v>
      </c>
      <c r="I139" s="19">
        <f>I103</f>
        <v>171.34</v>
      </c>
      <c r="J139" s="22">
        <f>J52</f>
        <v>151539.26799999998</v>
      </c>
      <c r="K139" s="48">
        <f>J138*I139</f>
        <v>25964738.179119997</v>
      </c>
      <c r="L139" s="19">
        <f>L103</f>
        <v>171.34</v>
      </c>
      <c r="M139" s="22">
        <f>M52</f>
        <v>151539.26799999998</v>
      </c>
      <c r="N139" s="48">
        <f>M138*L139</f>
        <v>25964738.179119997</v>
      </c>
    </row>
    <row r="140" spans="1:14" x14ac:dyDescent="0.2">
      <c r="A140" t="s">
        <v>125</v>
      </c>
      <c r="B140" s="39">
        <f>'MV provided # in FOI'!B140</f>
        <v>4.55</v>
      </c>
      <c r="C140" s="19">
        <f>C52</f>
        <v>4.55</v>
      </c>
      <c r="D140" s="22">
        <f>D139</f>
        <v>151539.26799999998</v>
      </c>
      <c r="E140" s="48">
        <f>D139*C140</f>
        <v>689503.6693999999</v>
      </c>
      <c r="F140" s="19">
        <f>F52</f>
        <v>4.55</v>
      </c>
      <c r="G140" s="22">
        <f>G139</f>
        <v>151539.26799999998</v>
      </c>
      <c r="H140" s="48">
        <f>G139*F140</f>
        <v>689503.6693999999</v>
      </c>
      <c r="I140" s="19">
        <f>I52</f>
        <v>4.55</v>
      </c>
      <c r="J140" s="22">
        <f>J139</f>
        <v>151539.26799999998</v>
      </c>
      <c r="K140" s="48">
        <f>J139*I140</f>
        <v>689503.6693999999</v>
      </c>
      <c r="L140" s="19">
        <f>L52</f>
        <v>4.55</v>
      </c>
      <c r="M140" s="22">
        <f>M139</f>
        <v>151539.26799999998</v>
      </c>
      <c r="N140" s="48">
        <f>M139*L140</f>
        <v>689503.6693999999</v>
      </c>
    </row>
    <row r="141" spans="1:14" x14ac:dyDescent="0.2">
      <c r="A141" t="s">
        <v>128</v>
      </c>
      <c r="B141" s="39">
        <f>'MV provided # in FOI'!B141</f>
        <v>0</v>
      </c>
      <c r="C141" s="19"/>
      <c r="D141" s="22"/>
      <c r="E141" s="48"/>
      <c r="F141" s="19"/>
      <c r="G141" s="22"/>
      <c r="H141" s="48"/>
      <c r="I141" s="19"/>
      <c r="J141" s="22"/>
      <c r="K141" s="48"/>
      <c r="L141" s="19"/>
      <c r="M141" s="22"/>
      <c r="N141" s="48"/>
    </row>
    <row r="142" spans="1:14" s="87" customFormat="1" x14ac:dyDescent="0.2">
      <c r="A142" s="85" t="s">
        <v>126</v>
      </c>
      <c r="B142" s="92">
        <f>'MV provided # in FOI'!B142</f>
        <v>230.55252132562777</v>
      </c>
      <c r="C142" s="86">
        <f>SUM(C138:C140)</f>
        <v>175.89000000000001</v>
      </c>
      <c r="E142" s="90">
        <f>SUM(E138:E140)</f>
        <v>26654241.848519996</v>
      </c>
      <c r="F142" s="86">
        <f>SUM(F138:F140)</f>
        <v>175.89000000000001</v>
      </c>
      <c r="H142" s="90">
        <f>SUM(H138:H140)</f>
        <v>26654241.848519996</v>
      </c>
      <c r="I142" s="86">
        <f>SUM(I138:I140)</f>
        <v>175.89000000000001</v>
      </c>
      <c r="K142" s="90">
        <f>SUM(K138:K140)</f>
        <v>26654241.848519996</v>
      </c>
      <c r="L142" s="86">
        <f>SUM(L138:L140)</f>
        <v>175.89000000000001</v>
      </c>
      <c r="N142" s="90">
        <f>SUM(N138:N140)</f>
        <v>26654241.848519996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E5D6F-1677-6144-ACC1-7AB6D8208CA3}">
  <dimension ref="A1:K152"/>
  <sheetViews>
    <sheetView workbookViewId="0">
      <pane xSplit="1" ySplit="2" topLeftCell="B118" activePane="bottomRight" state="frozen"/>
      <selection pane="topRight" activeCell="B1" sqref="B1"/>
      <selection pane="bottomLeft" activeCell="A3" sqref="A3"/>
      <selection pane="bottomRight" activeCell="D144" sqref="D144:D145"/>
    </sheetView>
  </sheetViews>
  <sheetFormatPr baseColWidth="10" defaultRowHeight="16" x14ac:dyDescent="0.2"/>
  <cols>
    <col min="1" max="1" width="51.33203125" customWidth="1"/>
    <col min="2" max="2" width="15.5" customWidth="1"/>
    <col min="3" max="3" width="20" customWidth="1"/>
    <col min="4" max="4" width="18.33203125" customWidth="1"/>
    <col min="5" max="5" width="15.6640625" style="31" bestFit="1" customWidth="1"/>
    <col min="6" max="7" width="15" bestFit="1" customWidth="1"/>
    <col min="8" max="8" width="16.33203125" customWidth="1"/>
    <col min="9" max="10" width="15" bestFit="1" customWidth="1"/>
    <col min="11" max="11" width="16.33203125" customWidth="1"/>
  </cols>
  <sheetData>
    <row r="1" spans="1:11" x14ac:dyDescent="0.2">
      <c r="A1" s="30" t="s">
        <v>134</v>
      </c>
      <c r="B1" s="3">
        <v>2024</v>
      </c>
      <c r="C1" s="3"/>
      <c r="D1" s="3"/>
      <c r="E1" s="41"/>
      <c r="F1" s="30">
        <v>2023</v>
      </c>
      <c r="H1" s="30"/>
      <c r="I1" s="42">
        <v>2021</v>
      </c>
      <c r="J1" s="42"/>
      <c r="K1" s="42"/>
    </row>
    <row r="2" spans="1:11" s="2" customFormat="1" ht="35" thickBot="1" x14ac:dyDescent="0.25">
      <c r="A2" s="17" t="s">
        <v>2</v>
      </c>
      <c r="B2" s="17" t="s">
        <v>3</v>
      </c>
      <c r="C2" s="17" t="s">
        <v>4</v>
      </c>
      <c r="D2" s="17" t="s">
        <v>139</v>
      </c>
      <c r="E2" s="32" t="s">
        <v>59</v>
      </c>
      <c r="F2" s="17" t="s">
        <v>3</v>
      </c>
      <c r="G2" s="17" t="s">
        <v>4</v>
      </c>
      <c r="H2" s="17" t="s">
        <v>139</v>
      </c>
      <c r="I2" s="17" t="s">
        <v>3</v>
      </c>
      <c r="J2" s="17" t="s">
        <v>4</v>
      </c>
      <c r="K2" s="17" t="s">
        <v>139</v>
      </c>
    </row>
    <row r="3" spans="1:11" s="2" customFormat="1" ht="36" thickTop="1" thickBot="1" x14ac:dyDescent="0.25">
      <c r="A3" s="2" t="s">
        <v>47</v>
      </c>
      <c r="D3" s="17" t="s">
        <v>5</v>
      </c>
      <c r="E3" s="33"/>
    </row>
    <row r="4" spans="1:11" ht="17" thickTop="1" x14ac:dyDescent="0.2">
      <c r="A4" t="s">
        <v>14</v>
      </c>
      <c r="B4" s="6">
        <v>710999</v>
      </c>
      <c r="C4" s="5">
        <v>648005.01300000004</v>
      </c>
      <c r="D4" s="6">
        <f>B4-C4</f>
        <v>62993.986999999965</v>
      </c>
      <c r="F4" s="6"/>
      <c r="G4" s="5"/>
      <c r="H4" s="6"/>
      <c r="I4" s="6"/>
      <c r="J4" s="5"/>
      <c r="K4" s="6"/>
    </row>
    <row r="5" spans="1:11" x14ac:dyDescent="0.2">
      <c r="A5" t="s">
        <v>15</v>
      </c>
      <c r="B5" s="6">
        <v>140705</v>
      </c>
      <c r="C5" s="5">
        <v>140704.84599999999</v>
      </c>
      <c r="D5" s="6"/>
      <c r="F5" s="6"/>
      <c r="G5" s="5"/>
      <c r="H5" s="6"/>
      <c r="I5" s="6"/>
      <c r="J5" s="5"/>
      <c r="K5" s="6"/>
    </row>
    <row r="6" spans="1:11" s="8" customFormat="1" x14ac:dyDescent="0.2">
      <c r="A6" s="8" t="s">
        <v>6</v>
      </c>
      <c r="B6" s="9"/>
      <c r="C6" s="10">
        <f>SUM(C4:C5)</f>
        <v>788709.85900000005</v>
      </c>
      <c r="D6" s="9"/>
      <c r="E6" s="34"/>
      <c r="F6" s="9"/>
      <c r="G6" s="10"/>
      <c r="H6" s="9"/>
      <c r="I6" s="9"/>
      <c r="J6" s="10"/>
      <c r="K6" s="9"/>
    </row>
    <row r="7" spans="1:11" x14ac:dyDescent="0.2">
      <c r="A7" t="s">
        <v>13</v>
      </c>
      <c r="B7" s="6"/>
      <c r="C7" s="5">
        <v>18268.293000000001</v>
      </c>
      <c r="D7" s="6"/>
      <c r="E7" s="35"/>
      <c r="F7" s="6"/>
      <c r="G7" s="5"/>
      <c r="H7" s="6"/>
      <c r="I7" s="6"/>
      <c r="J7" s="5"/>
      <c r="K7" s="6"/>
    </row>
    <row r="8" spans="1:11" s="1" customFormat="1" x14ac:dyDescent="0.2">
      <c r="A8" s="1" t="s">
        <v>7</v>
      </c>
      <c r="B8" s="7"/>
      <c r="C8" s="11">
        <f>C7+C5</f>
        <v>158973.139</v>
      </c>
      <c r="D8" s="7"/>
      <c r="E8" s="36"/>
      <c r="F8" s="7"/>
      <c r="G8" s="11"/>
      <c r="H8" s="7"/>
      <c r="I8" s="7"/>
      <c r="J8" s="11"/>
      <c r="K8" s="7"/>
    </row>
    <row r="9" spans="1:11" x14ac:dyDescent="0.2">
      <c r="A9" s="1" t="s">
        <v>6</v>
      </c>
      <c r="B9" s="7"/>
      <c r="C9" s="11">
        <f>C6+C7</f>
        <v>806978.152</v>
      </c>
      <c r="D9" s="6"/>
      <c r="F9" s="7"/>
      <c r="G9" s="11"/>
      <c r="H9" s="6"/>
      <c r="I9" s="7"/>
      <c r="J9" s="11"/>
      <c r="K9" s="6"/>
    </row>
    <row r="10" spans="1:11" x14ac:dyDescent="0.2">
      <c r="A10" t="s">
        <v>16</v>
      </c>
      <c r="B10" s="6"/>
      <c r="C10" s="5">
        <v>42701.83</v>
      </c>
      <c r="D10" s="6"/>
      <c r="E10" s="35"/>
      <c r="F10" s="6"/>
      <c r="G10" s="5"/>
      <c r="H10" s="6"/>
      <c r="I10" s="6"/>
      <c r="J10" s="5"/>
      <c r="K10" s="6"/>
    </row>
    <row r="11" spans="1:11" x14ac:dyDescent="0.2">
      <c r="A11" t="s">
        <v>17</v>
      </c>
      <c r="B11" s="6"/>
      <c r="C11" s="5">
        <v>61133.59</v>
      </c>
      <c r="D11" s="6"/>
      <c r="F11" s="6"/>
      <c r="G11" s="5"/>
      <c r="H11" s="6"/>
      <c r="I11" s="6"/>
      <c r="J11" s="5"/>
      <c r="K11" s="6"/>
    </row>
    <row r="12" spans="1:11" x14ac:dyDescent="0.2">
      <c r="A12" s="1" t="s">
        <v>26</v>
      </c>
      <c r="B12" s="6"/>
      <c r="C12" s="11">
        <f>C11+C10</f>
        <v>103835.42</v>
      </c>
      <c r="D12" s="6"/>
      <c r="F12" s="6"/>
      <c r="G12" s="11"/>
      <c r="H12" s="6"/>
      <c r="I12" s="6"/>
      <c r="J12" s="11"/>
      <c r="K12" s="6"/>
    </row>
    <row r="13" spans="1:11" x14ac:dyDescent="0.2">
      <c r="A13" s="1" t="s">
        <v>6</v>
      </c>
      <c r="B13" s="6"/>
      <c r="C13" s="11">
        <f>C9+C12</f>
        <v>910813.57200000004</v>
      </c>
      <c r="D13" s="6"/>
      <c r="F13" s="6"/>
      <c r="G13" s="11"/>
      <c r="H13" s="6"/>
      <c r="I13" s="6"/>
      <c r="J13" s="11"/>
      <c r="K13" s="6"/>
    </row>
    <row r="14" spans="1:11" x14ac:dyDescent="0.2">
      <c r="A14" t="s">
        <v>18</v>
      </c>
      <c r="B14" s="6"/>
      <c r="C14" s="5">
        <v>97311.718999999997</v>
      </c>
      <c r="D14" s="6"/>
      <c r="F14" s="6"/>
      <c r="G14" s="5"/>
      <c r="H14" s="6"/>
      <c r="I14" s="6"/>
      <c r="J14" s="5"/>
      <c r="K14" s="6"/>
    </row>
    <row r="15" spans="1:11" x14ac:dyDescent="0.2">
      <c r="A15" t="s">
        <v>9</v>
      </c>
      <c r="B15" s="6"/>
      <c r="C15" s="5">
        <v>59384.959999999999</v>
      </c>
      <c r="D15" s="6"/>
      <c r="F15" s="6"/>
      <c r="G15" s="5"/>
      <c r="H15" s="6"/>
      <c r="I15" s="6"/>
      <c r="J15" s="5"/>
      <c r="K15" s="6"/>
    </row>
    <row r="16" spans="1:11" x14ac:dyDescent="0.2">
      <c r="A16" s="1" t="s">
        <v>10</v>
      </c>
      <c r="B16" s="7"/>
      <c r="C16" s="11">
        <f>SUM(C14:C15)</f>
        <v>156696.679</v>
      </c>
      <c r="D16" s="6"/>
      <c r="F16" s="7"/>
      <c r="G16" s="11"/>
      <c r="H16" s="6"/>
      <c r="I16" s="7"/>
      <c r="J16" s="11"/>
      <c r="K16" s="6"/>
    </row>
    <row r="17" spans="1:11" x14ac:dyDescent="0.2">
      <c r="A17" t="s">
        <v>19</v>
      </c>
      <c r="B17" s="6"/>
      <c r="C17" s="5">
        <v>67005.671000000002</v>
      </c>
      <c r="D17" s="6"/>
      <c r="F17" s="6"/>
      <c r="G17" s="5"/>
      <c r="H17" s="6"/>
      <c r="I17" s="6"/>
      <c r="J17" s="5"/>
      <c r="K17" s="6"/>
    </row>
    <row r="18" spans="1:11" x14ac:dyDescent="0.2">
      <c r="A18" s="1" t="s">
        <v>11</v>
      </c>
      <c r="B18" s="6"/>
      <c r="C18" s="14">
        <f>C15+C14+C10+C11</f>
        <v>260532.09900000002</v>
      </c>
      <c r="D18" s="6"/>
      <c r="F18" s="6"/>
      <c r="G18" s="14"/>
      <c r="H18" s="6"/>
      <c r="I18" s="6"/>
      <c r="J18" s="14"/>
      <c r="K18" s="6"/>
    </row>
    <row r="19" spans="1:11" x14ac:dyDescent="0.2">
      <c r="A19" s="1" t="s">
        <v>20</v>
      </c>
      <c r="B19" s="7">
        <f>C19+D4</f>
        <v>1197509.9090000002</v>
      </c>
      <c r="C19" s="11">
        <f>+C13+C16+C17</f>
        <v>1134515.9220000003</v>
      </c>
      <c r="D19" s="7">
        <f>D4</f>
        <v>62993.986999999965</v>
      </c>
      <c r="F19" s="7"/>
      <c r="G19" s="11"/>
      <c r="H19" s="7"/>
      <c r="I19" s="7"/>
      <c r="J19" s="11"/>
      <c r="K19" s="7"/>
    </row>
    <row r="20" spans="1:11" x14ac:dyDescent="0.2">
      <c r="B20" s="6"/>
      <c r="C20" s="6"/>
      <c r="D20" s="6"/>
      <c r="F20" s="6"/>
      <c r="G20" s="6"/>
      <c r="H20" s="6"/>
      <c r="I20" s="6"/>
      <c r="J20" s="6"/>
      <c r="K20" s="6"/>
    </row>
    <row r="21" spans="1:11" ht="17" thickBot="1" x14ac:dyDescent="0.25">
      <c r="A21" s="16"/>
      <c r="B21" s="16"/>
      <c r="C21" s="16"/>
      <c r="D21" s="16"/>
      <c r="E21" s="37"/>
      <c r="F21" s="16"/>
      <c r="G21" s="16"/>
      <c r="H21" s="16"/>
      <c r="I21" s="16"/>
      <c r="J21" s="16"/>
      <c r="K21" s="16"/>
    </row>
    <row r="22" spans="1:11" s="15" customFormat="1" ht="17" thickTop="1" x14ac:dyDescent="0.2">
      <c r="A22" s="1" t="s">
        <v>12</v>
      </c>
      <c r="B22"/>
      <c r="C22"/>
      <c r="D22"/>
      <c r="E22" s="31"/>
      <c r="F22"/>
      <c r="G22"/>
      <c r="H22"/>
      <c r="I22"/>
      <c r="J22"/>
      <c r="K22"/>
    </row>
    <row r="23" spans="1:11" x14ac:dyDescent="0.2">
      <c r="A23" s="1" t="s">
        <v>21</v>
      </c>
    </row>
    <row r="24" spans="1:11" x14ac:dyDescent="0.2">
      <c r="A24" t="s">
        <v>22</v>
      </c>
      <c r="C24" s="13">
        <f>C10</f>
        <v>42701.83</v>
      </c>
      <c r="G24" s="13"/>
      <c r="J24" s="13"/>
    </row>
    <row r="25" spans="1:11" x14ac:dyDescent="0.2">
      <c r="A25" t="s">
        <v>23</v>
      </c>
      <c r="C25" s="13">
        <f>C11</f>
        <v>61133.59</v>
      </c>
      <c r="G25" s="13"/>
      <c r="J25" s="13"/>
    </row>
    <row r="26" spans="1:11" x14ac:dyDescent="0.2">
      <c r="A26" t="s">
        <v>24</v>
      </c>
      <c r="C26" s="13">
        <v>405659.62599999999</v>
      </c>
      <c r="G26" s="13"/>
      <c r="J26" s="13"/>
    </row>
    <row r="27" spans="1:11" x14ac:dyDescent="0.2">
      <c r="A27" s="1" t="s">
        <v>28</v>
      </c>
      <c r="B27" s="1"/>
      <c r="C27" s="14">
        <f>SUM(C24:C26)</f>
        <v>509495.04599999997</v>
      </c>
      <c r="F27" s="1"/>
      <c r="G27" s="14"/>
      <c r="I27" s="1"/>
      <c r="J27" s="14"/>
    </row>
    <row r="28" spans="1:11" x14ac:dyDescent="0.2">
      <c r="A28" t="s">
        <v>25</v>
      </c>
      <c r="C28" s="13">
        <f>C16</f>
        <v>156696.679</v>
      </c>
      <c r="G28" s="13"/>
      <c r="J28" s="13"/>
    </row>
    <row r="29" spans="1:11" x14ac:dyDescent="0.2">
      <c r="A29" s="1" t="s">
        <v>29</v>
      </c>
      <c r="B29" s="1"/>
      <c r="C29" s="14">
        <f>C27+C28</f>
        <v>666191.72499999998</v>
      </c>
      <c r="F29" s="1"/>
      <c r="G29" s="14"/>
      <c r="I29" s="1"/>
      <c r="J29" s="14"/>
    </row>
    <row r="30" spans="1:11" x14ac:dyDescent="0.2">
      <c r="A30" t="s">
        <v>27</v>
      </c>
      <c r="C30" s="13">
        <f>C17</f>
        <v>67005.671000000002</v>
      </c>
      <c r="G30" s="13"/>
      <c r="J30" s="13"/>
    </row>
    <row r="31" spans="1:11" x14ac:dyDescent="0.2">
      <c r="A31" s="1" t="s">
        <v>44</v>
      </c>
      <c r="C31" s="14">
        <f>C29+C30</f>
        <v>733197.39599999995</v>
      </c>
      <c r="G31" s="14"/>
      <c r="J31" s="14"/>
    </row>
    <row r="32" spans="1:11" x14ac:dyDescent="0.2">
      <c r="A32" s="1" t="s">
        <v>31</v>
      </c>
      <c r="C32" s="13"/>
      <c r="G32" s="13"/>
      <c r="J32" s="13"/>
    </row>
    <row r="33" spans="1:11" x14ac:dyDescent="0.2">
      <c r="A33" t="s">
        <v>32</v>
      </c>
      <c r="C33" s="13">
        <v>140704.84599999999</v>
      </c>
      <c r="G33" s="13"/>
      <c r="J33" s="13"/>
    </row>
    <row r="34" spans="1:11" x14ac:dyDescent="0.2">
      <c r="A34" t="s">
        <v>33</v>
      </c>
      <c r="C34" s="13">
        <v>84195.767000000007</v>
      </c>
      <c r="G34" s="13"/>
      <c r="J34" s="13"/>
    </row>
    <row r="35" spans="1:11" x14ac:dyDescent="0.2">
      <c r="A35" s="1" t="s">
        <v>35</v>
      </c>
      <c r="B35" s="1"/>
      <c r="C35" s="14">
        <f>C34+C33</f>
        <v>224900.61300000001</v>
      </c>
      <c r="F35" s="1"/>
      <c r="G35" s="14"/>
      <c r="I35" s="1"/>
      <c r="J35" s="14"/>
    </row>
    <row r="36" spans="1:11" x14ac:dyDescent="0.2">
      <c r="A36" t="s">
        <v>34</v>
      </c>
      <c r="C36" s="13">
        <f>C7</f>
        <v>18268.293000000001</v>
      </c>
      <c r="G36" s="13"/>
      <c r="J36" s="13"/>
    </row>
    <row r="37" spans="1:11" x14ac:dyDescent="0.2">
      <c r="A37" s="1" t="s">
        <v>36</v>
      </c>
      <c r="C37" s="14">
        <f>C36+C34+C33</f>
        <v>243168.90600000002</v>
      </c>
      <c r="G37" s="14"/>
      <c r="J37" s="14"/>
    </row>
    <row r="39" spans="1:11" x14ac:dyDescent="0.2">
      <c r="A39" s="1" t="s">
        <v>40</v>
      </c>
    </row>
    <row r="40" spans="1:11" x14ac:dyDescent="0.2">
      <c r="A40" t="s">
        <v>37</v>
      </c>
      <c r="C40" s="13">
        <v>80718.505999999994</v>
      </c>
      <c r="G40" s="13"/>
      <c r="J40" s="13"/>
    </row>
    <row r="41" spans="1:11" x14ac:dyDescent="0.2">
      <c r="A41" t="s">
        <v>38</v>
      </c>
      <c r="C41" s="13">
        <v>12246.370999999999</v>
      </c>
      <c r="G41" s="13"/>
      <c r="J41" s="13"/>
    </row>
    <row r="42" spans="1:11" x14ac:dyDescent="0.2">
      <c r="A42" t="s">
        <v>39</v>
      </c>
      <c r="C42" s="13">
        <v>58574.391000000003</v>
      </c>
      <c r="G42" s="13"/>
      <c r="J42" s="13"/>
    </row>
    <row r="43" spans="1:11" x14ac:dyDescent="0.2">
      <c r="A43" s="1" t="s">
        <v>41</v>
      </c>
      <c r="C43" s="14">
        <f>SUM(C40:C42)</f>
        <v>151539.26799999998</v>
      </c>
      <c r="G43" s="14"/>
      <c r="J43" s="14"/>
    </row>
    <row r="44" spans="1:11" x14ac:dyDescent="0.2">
      <c r="A44" s="1" t="s">
        <v>42</v>
      </c>
      <c r="C44" s="14">
        <f>C31+C37+C43</f>
        <v>1127905.5699999998</v>
      </c>
      <c r="G44" s="14"/>
      <c r="J44" s="14"/>
    </row>
    <row r="45" spans="1:11" x14ac:dyDescent="0.2">
      <c r="A45" t="s">
        <v>43</v>
      </c>
      <c r="C45" s="13">
        <f>C19-C44</f>
        <v>6610.352000000421</v>
      </c>
      <c r="G45" s="13"/>
      <c r="J45" s="13"/>
    </row>
    <row r="46" spans="1:11" x14ac:dyDescent="0.2">
      <c r="C46" s="13"/>
      <c r="G46" s="13"/>
      <c r="J46" s="13"/>
    </row>
    <row r="47" spans="1:11" x14ac:dyDescent="0.2">
      <c r="C47" s="13" t="s">
        <v>45</v>
      </c>
      <c r="G47" s="13"/>
      <c r="J47" s="13"/>
    </row>
    <row r="48" spans="1:11" ht="17" thickBot="1" x14ac:dyDescent="0.25">
      <c r="A48" s="16"/>
      <c r="B48" s="16"/>
      <c r="C48" s="16"/>
      <c r="D48" s="16"/>
      <c r="E48" s="37"/>
      <c r="F48" s="16"/>
      <c r="G48" s="16"/>
      <c r="H48" s="16"/>
      <c r="I48" s="16"/>
      <c r="J48" s="16"/>
      <c r="K48" s="16"/>
    </row>
    <row r="49" spans="1:11" ht="17" thickTop="1" x14ac:dyDescent="0.2">
      <c r="A49" s="1" t="s">
        <v>46</v>
      </c>
      <c r="B49" s="1" t="s">
        <v>48</v>
      </c>
      <c r="C49" s="1" t="s">
        <v>49</v>
      </c>
      <c r="D49" s="1" t="s">
        <v>0</v>
      </c>
      <c r="E49" s="36" t="s">
        <v>59</v>
      </c>
      <c r="F49" s="1"/>
      <c r="G49" s="1"/>
      <c r="H49" s="1"/>
      <c r="I49" s="1"/>
      <c r="J49" s="1"/>
      <c r="K49" s="1"/>
    </row>
    <row r="50" spans="1:11" x14ac:dyDescent="0.2">
      <c r="A50" t="s">
        <v>50</v>
      </c>
      <c r="B50" s="18">
        <v>14.19</v>
      </c>
      <c r="C50" s="4">
        <v>84139</v>
      </c>
      <c r="D50" s="18">
        <f>B50*C50</f>
        <v>1193932.4099999999</v>
      </c>
      <c r="E50" s="31" t="s">
        <v>129</v>
      </c>
      <c r="F50" s="18"/>
      <c r="I50" s="18"/>
    </row>
    <row r="51" spans="1:11" x14ac:dyDescent="0.2">
      <c r="A51" t="s">
        <v>51</v>
      </c>
      <c r="B51" s="18">
        <v>19.18</v>
      </c>
      <c r="C51" s="4">
        <v>405660</v>
      </c>
      <c r="D51" s="18">
        <f>B51*C51</f>
        <v>7780558.7999999998</v>
      </c>
      <c r="E51" s="31" t="s">
        <v>129</v>
      </c>
      <c r="F51" s="18"/>
      <c r="I51" s="18"/>
    </row>
    <row r="52" spans="1:11" x14ac:dyDescent="0.2">
      <c r="A52" t="s">
        <v>52</v>
      </c>
      <c r="B52" s="18">
        <v>4.55</v>
      </c>
      <c r="C52" s="12">
        <f>C43</f>
        <v>151539.26799999998</v>
      </c>
      <c r="D52" s="18">
        <f>B52*C52</f>
        <v>689503.6693999999</v>
      </c>
      <c r="E52" s="31" t="s">
        <v>129</v>
      </c>
      <c r="F52" s="18"/>
      <c r="I52" s="18"/>
    </row>
    <row r="53" spans="1:11" x14ac:dyDescent="0.2">
      <c r="A53" t="s">
        <v>53</v>
      </c>
      <c r="D53" s="18">
        <v>173617</v>
      </c>
      <c r="E53" s="31" t="s">
        <v>130</v>
      </c>
    </row>
    <row r="54" spans="1:11" x14ac:dyDescent="0.2">
      <c r="A54" t="s">
        <v>54</v>
      </c>
      <c r="B54" s="18">
        <v>4.8</v>
      </c>
      <c r="C54" s="12">
        <v>555400</v>
      </c>
      <c r="D54" s="18">
        <f>B54*C54</f>
        <v>2665920</v>
      </c>
      <c r="E54" s="31" t="s">
        <v>130</v>
      </c>
      <c r="F54" s="18"/>
      <c r="I54" s="18"/>
    </row>
    <row r="55" spans="1:11" x14ac:dyDescent="0.2">
      <c r="A55" t="s">
        <v>55</v>
      </c>
      <c r="B55" s="18">
        <v>10</v>
      </c>
      <c r="C55" s="12">
        <f>C54</f>
        <v>555400</v>
      </c>
      <c r="D55" s="18">
        <f>B55*C55</f>
        <v>5554000</v>
      </c>
      <c r="E55" s="31" t="s">
        <v>130</v>
      </c>
      <c r="F55" s="18"/>
      <c r="G55" s="12"/>
      <c r="H55" s="18"/>
      <c r="I55" s="18"/>
      <c r="J55" s="12"/>
      <c r="K55" s="18"/>
    </row>
    <row r="57" spans="1:11" x14ac:dyDescent="0.2">
      <c r="A57" s="1" t="s">
        <v>56</v>
      </c>
    </row>
    <row r="58" spans="1:11" x14ac:dyDescent="0.2">
      <c r="A58" s="1" t="s">
        <v>57</v>
      </c>
    </row>
    <row r="59" spans="1:11" x14ac:dyDescent="0.2">
      <c r="A59" t="s">
        <v>58</v>
      </c>
      <c r="D59" s="18">
        <v>28964182</v>
      </c>
      <c r="H59" s="18"/>
      <c r="K59" s="18"/>
    </row>
    <row r="60" spans="1:11" x14ac:dyDescent="0.2">
      <c r="A60" t="s">
        <v>60</v>
      </c>
      <c r="D60" s="18">
        <v>4956019</v>
      </c>
      <c r="H60" s="18"/>
      <c r="K60" s="18"/>
    </row>
    <row r="61" spans="1:11" x14ac:dyDescent="0.2">
      <c r="A61" t="s">
        <v>61</v>
      </c>
      <c r="D61" s="18">
        <v>214379</v>
      </c>
      <c r="H61" s="18"/>
      <c r="K61" s="18"/>
    </row>
    <row r="62" spans="1:11" x14ac:dyDescent="0.2">
      <c r="A62" t="s">
        <v>62</v>
      </c>
      <c r="D62" s="18">
        <v>-46274</v>
      </c>
      <c r="H62" s="18"/>
      <c r="K62" s="18"/>
    </row>
    <row r="63" spans="1:11" x14ac:dyDescent="0.2">
      <c r="A63" s="1" t="s">
        <v>8</v>
      </c>
      <c r="B63" s="18">
        <f>D63/C63</f>
        <v>49.235157584887567</v>
      </c>
      <c r="C63" s="22">
        <v>692357</v>
      </c>
      <c r="D63" s="19">
        <f>SUM(D59:D62)</f>
        <v>34088306</v>
      </c>
      <c r="E63" s="38">
        <v>35825563</v>
      </c>
      <c r="H63" s="19"/>
      <c r="K63" s="19"/>
    </row>
    <row r="64" spans="1:11" x14ac:dyDescent="0.2">
      <c r="H64">
        <v>400000000</v>
      </c>
      <c r="I64" t="s">
        <v>141</v>
      </c>
    </row>
    <row r="65" spans="1:11" x14ac:dyDescent="0.2">
      <c r="A65" s="1" t="s">
        <v>63</v>
      </c>
      <c r="H65">
        <v>20</v>
      </c>
      <c r="I65" t="s">
        <v>142</v>
      </c>
    </row>
    <row r="66" spans="1:11" x14ac:dyDescent="0.2">
      <c r="A66" t="s">
        <v>64</v>
      </c>
      <c r="D66" s="18">
        <v>47600458</v>
      </c>
      <c r="H66" s="18">
        <f>H64/H65</f>
        <v>20000000</v>
      </c>
      <c r="I66" t="s">
        <v>143</v>
      </c>
      <c r="K66" s="18"/>
    </row>
    <row r="67" spans="1:11" x14ac:dyDescent="0.2">
      <c r="A67" t="s">
        <v>65</v>
      </c>
      <c r="D67" s="18">
        <v>-3745022</v>
      </c>
      <c r="H67" s="96">
        <f>H66/250000</f>
        <v>80</v>
      </c>
      <c r="I67" t="s">
        <v>144</v>
      </c>
      <c r="K67" s="18"/>
    </row>
    <row r="68" spans="1:11" x14ac:dyDescent="0.2">
      <c r="A68" t="s">
        <v>66</v>
      </c>
      <c r="D68" s="18">
        <v>-1995113</v>
      </c>
      <c r="H68" s="18"/>
      <c r="K68" s="18"/>
    </row>
    <row r="69" spans="1:11" x14ac:dyDescent="0.2">
      <c r="A69" t="s">
        <v>67</v>
      </c>
      <c r="D69" s="18">
        <v>-9662252</v>
      </c>
    </row>
    <row r="70" spans="1:11" x14ac:dyDescent="0.2">
      <c r="A70" t="s">
        <v>68</v>
      </c>
      <c r="D70" s="18">
        <v>-5409106</v>
      </c>
    </row>
    <row r="71" spans="1:11" x14ac:dyDescent="0.2">
      <c r="A71" t="s">
        <v>69</v>
      </c>
      <c r="B71" s="20">
        <f>D71/C76</f>
        <v>37.677922191170452</v>
      </c>
      <c r="D71" s="20">
        <f>SUM(D66:D70)</f>
        <v>26788965</v>
      </c>
      <c r="E71" s="39"/>
      <c r="F71" s="20"/>
      <c r="H71" s="20"/>
      <c r="I71" s="20"/>
      <c r="K71" s="20"/>
    </row>
    <row r="72" spans="1:11" x14ac:dyDescent="0.2">
      <c r="A72" t="s">
        <v>70</v>
      </c>
      <c r="D72" s="18">
        <v>6060554</v>
      </c>
      <c r="H72" s="18"/>
      <c r="K72" s="18"/>
    </row>
    <row r="73" spans="1:11" x14ac:dyDescent="0.2">
      <c r="A73" t="s">
        <v>71</v>
      </c>
      <c r="D73" s="18">
        <v>-961860</v>
      </c>
      <c r="H73" s="18"/>
      <c r="K73" s="18"/>
    </row>
    <row r="74" spans="1:11" x14ac:dyDescent="0.2">
      <c r="A74" t="s">
        <v>72</v>
      </c>
      <c r="B74" s="20">
        <f>D74/C76</f>
        <v>7.1711690171153544</v>
      </c>
      <c r="D74" s="21">
        <f>D72+D73</f>
        <v>5098694</v>
      </c>
      <c r="F74" s="20"/>
      <c r="H74" s="21"/>
      <c r="I74" s="20"/>
      <c r="K74" s="21"/>
    </row>
    <row r="75" spans="1:11" x14ac:dyDescent="0.2">
      <c r="A75" t="s">
        <v>73</v>
      </c>
      <c r="B75" s="20">
        <f>D75/C76</f>
        <v>9.8134301173419374</v>
      </c>
      <c r="D75" s="20">
        <v>6977339</v>
      </c>
      <c r="E75" s="38">
        <v>8176463</v>
      </c>
      <c r="F75" s="20"/>
      <c r="I75" s="20"/>
    </row>
    <row r="76" spans="1:11" x14ac:dyDescent="0.2">
      <c r="A76" s="1" t="s">
        <v>74</v>
      </c>
      <c r="B76" s="21">
        <f>B71+B74+B75</f>
        <v>54.662521325627743</v>
      </c>
      <c r="C76" s="22">
        <f>B4</f>
        <v>710999</v>
      </c>
      <c r="D76" s="21">
        <f>D71+D74+D75</f>
        <v>38864998</v>
      </c>
      <c r="E76" s="38">
        <v>49564839</v>
      </c>
      <c r="F76" s="21"/>
      <c r="G76" s="22"/>
      <c r="H76" s="21"/>
      <c r="I76" s="21"/>
      <c r="J76" s="22"/>
      <c r="K76" s="21"/>
    </row>
    <row r="78" spans="1:11" x14ac:dyDescent="0.2">
      <c r="A78" s="1" t="s">
        <v>75</v>
      </c>
    </row>
    <row r="79" spans="1:11" x14ac:dyDescent="0.2">
      <c r="A79" t="s">
        <v>76</v>
      </c>
      <c r="D79" s="18">
        <v>14819466</v>
      </c>
      <c r="H79" s="18"/>
      <c r="K79" s="18"/>
    </row>
    <row r="80" spans="1:11" x14ac:dyDescent="0.2">
      <c r="A80" t="s">
        <v>77</v>
      </c>
      <c r="D80" s="18">
        <v>214379</v>
      </c>
      <c r="H80" s="18"/>
      <c r="K80" s="18"/>
    </row>
    <row r="81" spans="1:11" x14ac:dyDescent="0.2">
      <c r="A81" t="s">
        <v>78</v>
      </c>
      <c r="D81" s="18">
        <v>-10183</v>
      </c>
      <c r="H81" s="18"/>
      <c r="K81" s="18"/>
    </row>
    <row r="82" spans="1:11" x14ac:dyDescent="0.2">
      <c r="B82" s="18">
        <f>D82/C82</f>
        <v>107.30148694395284</v>
      </c>
      <c r="C82" s="6">
        <f>C10+C14</f>
        <v>140013.549</v>
      </c>
      <c r="D82" s="20">
        <f>SUM(D79:D81)</f>
        <v>15023662</v>
      </c>
      <c r="E82" s="31" t="s">
        <v>131</v>
      </c>
      <c r="F82" s="18"/>
      <c r="G82" s="6"/>
      <c r="H82" s="20"/>
      <c r="I82" s="18"/>
      <c r="J82" s="6"/>
      <c r="K82" s="20"/>
    </row>
    <row r="84" spans="1:11" x14ac:dyDescent="0.2">
      <c r="A84" s="1" t="s">
        <v>30</v>
      </c>
    </row>
    <row r="85" spans="1:11" x14ac:dyDescent="0.2">
      <c r="A85" t="s">
        <v>79</v>
      </c>
    </row>
    <row r="86" spans="1:11" x14ac:dyDescent="0.2">
      <c r="A86" t="s">
        <v>80</v>
      </c>
      <c r="D86" s="18">
        <v>30432853</v>
      </c>
      <c r="E86" s="38">
        <v>29266387</v>
      </c>
      <c r="H86" s="18"/>
      <c r="K86" s="18"/>
    </row>
    <row r="87" spans="1:11" x14ac:dyDescent="0.2">
      <c r="A87" t="s">
        <v>81</v>
      </c>
      <c r="D87" s="18">
        <v>494971</v>
      </c>
      <c r="E87" s="39"/>
      <c r="H87" s="18"/>
      <c r="K87" s="18"/>
    </row>
    <row r="88" spans="1:11" x14ac:dyDescent="0.2">
      <c r="A88" t="s">
        <v>83</v>
      </c>
      <c r="D88" s="18">
        <v>-3649146</v>
      </c>
      <c r="E88" s="38">
        <v>-6254000</v>
      </c>
      <c r="H88" s="18"/>
      <c r="K88" s="18"/>
    </row>
    <row r="89" spans="1:11" x14ac:dyDescent="0.2">
      <c r="A89" t="s">
        <v>82</v>
      </c>
      <c r="D89" s="18">
        <v>-291477</v>
      </c>
      <c r="E89" s="31" t="s">
        <v>132</v>
      </c>
      <c r="H89" s="18"/>
      <c r="K89" s="18"/>
    </row>
    <row r="90" spans="1:11" x14ac:dyDescent="0.2">
      <c r="A90" t="s">
        <v>84</v>
      </c>
      <c r="B90" s="18">
        <v>142</v>
      </c>
      <c r="C90" s="4">
        <v>11410.862999999999</v>
      </c>
      <c r="D90" s="18">
        <f>-C90*B90</f>
        <v>-1620342.5459999999</v>
      </c>
      <c r="E90" s="39"/>
      <c r="F90" s="18"/>
      <c r="G90" s="4"/>
      <c r="H90" s="18"/>
      <c r="I90" s="18"/>
      <c r="J90" s="4"/>
      <c r="K90" s="18"/>
    </row>
    <row r="91" spans="1:11" x14ac:dyDescent="0.2">
      <c r="A91" s="1" t="s">
        <v>8</v>
      </c>
      <c r="B91" s="18">
        <f>D91/C91</f>
        <v>104.31785408451852</v>
      </c>
      <c r="C91" s="23">
        <f>C37</f>
        <v>243168.90600000002</v>
      </c>
      <c r="D91" s="20">
        <f>SUM(D86:D90)</f>
        <v>25366858.454</v>
      </c>
      <c r="F91" s="18"/>
      <c r="G91" s="23"/>
      <c r="H91" s="20"/>
      <c r="I91" s="18"/>
      <c r="J91" s="23"/>
      <c r="K91" s="20"/>
    </row>
    <row r="92" spans="1:11" x14ac:dyDescent="0.2">
      <c r="A92" t="s">
        <v>73</v>
      </c>
      <c r="B92" s="18">
        <f>D92/C91</f>
        <v>11.058663067719685</v>
      </c>
      <c r="D92" s="18">
        <v>2689123</v>
      </c>
      <c r="E92" s="38">
        <v>3151298</v>
      </c>
      <c r="F92" s="18"/>
      <c r="I92" s="18"/>
    </row>
    <row r="95" spans="1:11" x14ac:dyDescent="0.2">
      <c r="A95" t="s">
        <v>85</v>
      </c>
    </row>
    <row r="96" spans="1:11" x14ac:dyDescent="0.2">
      <c r="A96" t="s">
        <v>86</v>
      </c>
      <c r="D96" s="18">
        <v>3940867</v>
      </c>
      <c r="H96" s="18"/>
      <c r="K96" s="18"/>
    </row>
    <row r="97" spans="1:11" x14ac:dyDescent="0.2">
      <c r="A97" t="s">
        <v>87</v>
      </c>
      <c r="D97" s="18">
        <v>-5015317</v>
      </c>
      <c r="H97" s="18"/>
      <c r="K97" s="18"/>
    </row>
    <row r="98" spans="1:11" x14ac:dyDescent="0.2">
      <c r="A98" t="s">
        <v>88</v>
      </c>
      <c r="D98" s="18">
        <v>-2902474</v>
      </c>
      <c r="H98" s="18"/>
      <c r="K98" s="18"/>
    </row>
    <row r="99" spans="1:11" x14ac:dyDescent="0.2">
      <c r="A99" s="1" t="s">
        <v>8</v>
      </c>
      <c r="B99" s="20">
        <f>D99/C91</f>
        <v>-16.354574544164787</v>
      </c>
      <c r="C99" s="1"/>
      <c r="D99" s="20">
        <f>SUM(D96:D98)</f>
        <v>-3976924</v>
      </c>
      <c r="F99" s="20"/>
      <c r="G99" s="1"/>
      <c r="H99" s="20"/>
      <c r="I99" s="20"/>
      <c r="J99" s="1"/>
      <c r="K99" s="20"/>
    </row>
    <row r="100" spans="1:11" x14ac:dyDescent="0.2">
      <c r="A100" s="1" t="s">
        <v>89</v>
      </c>
      <c r="B100" s="21">
        <f>B99+B92+B91</f>
        <v>99.021942608073417</v>
      </c>
      <c r="F100" s="21"/>
      <c r="I100" s="21"/>
    </row>
    <row r="102" spans="1:11" x14ac:dyDescent="0.2">
      <c r="A102" s="1" t="s">
        <v>91</v>
      </c>
    </row>
    <row r="103" spans="1:11" x14ac:dyDescent="0.2">
      <c r="A103" s="1" t="s">
        <v>90</v>
      </c>
      <c r="B103" s="20">
        <v>171.34</v>
      </c>
      <c r="E103" s="31" t="s">
        <v>133</v>
      </c>
      <c r="F103" s="20"/>
      <c r="I103" s="20"/>
    </row>
    <row r="104" spans="1:11" ht="17" thickBot="1" x14ac:dyDescent="0.25"/>
    <row r="105" spans="1:11" s="24" customFormat="1" ht="17" thickBot="1" x14ac:dyDescent="0.25">
      <c r="A105" s="25" t="s">
        <v>92</v>
      </c>
      <c r="B105" s="24" t="s">
        <v>102</v>
      </c>
      <c r="C105" s="24" t="s">
        <v>1</v>
      </c>
      <c r="D105" s="24" t="s">
        <v>101</v>
      </c>
      <c r="E105" s="40"/>
      <c r="F105" s="24" t="s">
        <v>102</v>
      </c>
      <c r="G105" s="24" t="s">
        <v>1</v>
      </c>
      <c r="H105" s="24" t="s">
        <v>101</v>
      </c>
      <c r="I105" s="24" t="s">
        <v>102</v>
      </c>
      <c r="J105" s="24" t="s">
        <v>1</v>
      </c>
      <c r="K105" s="24" t="s">
        <v>101</v>
      </c>
    </row>
    <row r="106" spans="1:11" x14ac:dyDescent="0.2">
      <c r="A106" s="1" t="s">
        <v>21</v>
      </c>
    </row>
    <row r="107" spans="1:11" x14ac:dyDescent="0.2">
      <c r="A107" t="s">
        <v>93</v>
      </c>
      <c r="B107" s="19">
        <f>B76</f>
        <v>54.662521325627743</v>
      </c>
      <c r="C107" s="6">
        <f>C26</f>
        <v>405659.62599999999</v>
      </c>
      <c r="D107" s="26">
        <f>B107*C107</f>
        <v>22174377.957171176</v>
      </c>
      <c r="F107" s="19">
        <v>68.03</v>
      </c>
      <c r="G107" s="6">
        <v>411890</v>
      </c>
      <c r="H107" s="26">
        <f>F107*G107</f>
        <v>28020876.699999999</v>
      </c>
      <c r="I107" s="19">
        <v>45.53</v>
      </c>
      <c r="J107" s="6">
        <v>482872</v>
      </c>
      <c r="K107" s="26">
        <f>I107*J107</f>
        <v>21985162.16</v>
      </c>
    </row>
    <row r="108" spans="1:11" x14ac:dyDescent="0.2">
      <c r="A108" t="s">
        <v>94</v>
      </c>
      <c r="B108" s="19">
        <f>B51</f>
        <v>19.18</v>
      </c>
      <c r="C108" s="22">
        <f>C107</f>
        <v>405659.62599999999</v>
      </c>
      <c r="D108" s="26">
        <f>B108*C108</f>
        <v>7780551.6266799998</v>
      </c>
      <c r="F108" s="19">
        <v>17.45</v>
      </c>
      <c r="G108" s="22">
        <f>G107</f>
        <v>411890</v>
      </c>
      <c r="H108" s="26">
        <f>F108*G108</f>
        <v>7187480.5</v>
      </c>
      <c r="I108" s="19">
        <v>12.96</v>
      </c>
      <c r="J108" s="22">
        <f>J107</f>
        <v>482872</v>
      </c>
      <c r="K108" s="26">
        <f>I108*J108</f>
        <v>6258021.1200000001</v>
      </c>
    </row>
    <row r="109" spans="1:11" x14ac:dyDescent="0.2">
      <c r="A109" t="s">
        <v>95</v>
      </c>
    </row>
    <row r="110" spans="1:11" x14ac:dyDescent="0.2">
      <c r="A110" t="s">
        <v>97</v>
      </c>
      <c r="B110" s="19">
        <f>B63</f>
        <v>49.235157584887567</v>
      </c>
      <c r="C110" s="6">
        <f>C27</f>
        <v>509495.04599999997</v>
      </c>
      <c r="F110" s="19">
        <v>40.94</v>
      </c>
      <c r="G110" s="6">
        <v>511811</v>
      </c>
      <c r="I110" s="19">
        <v>36.47</v>
      </c>
      <c r="J110" s="6">
        <v>706498</v>
      </c>
    </row>
    <row r="111" spans="1:11" x14ac:dyDescent="0.2">
      <c r="A111" t="s">
        <v>96</v>
      </c>
      <c r="B111" s="19">
        <f>B54</f>
        <v>4.8</v>
      </c>
      <c r="F111" s="19">
        <f>F114-F113-F110</f>
        <v>9.4100000000000037</v>
      </c>
      <c r="I111" s="19">
        <f>I114-I113-I110</f>
        <v>4.009999999999998</v>
      </c>
    </row>
    <row r="112" spans="1:11" x14ac:dyDescent="0.2">
      <c r="A112" t="s">
        <v>99</v>
      </c>
      <c r="B112" s="18">
        <f>277997*0.6245/C110</f>
        <v>0.3407474279936375</v>
      </c>
      <c r="F112" s="18" t="s">
        <v>127</v>
      </c>
      <c r="I112" s="18" t="s">
        <v>127</v>
      </c>
    </row>
    <row r="113" spans="1:11" x14ac:dyDescent="0.2">
      <c r="A113" t="s">
        <v>98</v>
      </c>
      <c r="B113" s="18">
        <f>B55</f>
        <v>10</v>
      </c>
      <c r="F113" s="18">
        <v>10</v>
      </c>
      <c r="I113" s="18">
        <v>10</v>
      </c>
    </row>
    <row r="114" spans="1:11" x14ac:dyDescent="0.2">
      <c r="A114" t="s">
        <v>100</v>
      </c>
      <c r="B114" s="21">
        <f>SUM(B110:B113)</f>
        <v>64.375905012881205</v>
      </c>
      <c r="D114" s="26">
        <f>32801889</f>
        <v>32801889</v>
      </c>
      <c r="F114" s="21">
        <f>60.35</f>
        <v>60.35</v>
      </c>
      <c r="H114" s="26">
        <f>G110*F114</f>
        <v>30887793.850000001</v>
      </c>
      <c r="I114" s="21">
        <v>50.48</v>
      </c>
      <c r="K114" s="26">
        <f>J110*I114</f>
        <v>35664019.039999999</v>
      </c>
    </row>
    <row r="115" spans="1:11" x14ac:dyDescent="0.2">
      <c r="A115" s="1" t="s">
        <v>111</v>
      </c>
      <c r="B115" s="21">
        <f>D115/C110</f>
        <v>123.17454129642543</v>
      </c>
      <c r="D115" s="27">
        <f>D114+D108+D107</f>
        <v>62756818.583851174</v>
      </c>
      <c r="F115" s="21">
        <f>H115/G110</f>
        <v>129.14171647346384</v>
      </c>
      <c r="H115" s="27">
        <f>H114+H108+H107</f>
        <v>66096151.049999997</v>
      </c>
      <c r="I115" s="21">
        <f>K115/J110</f>
        <v>90.456310308026346</v>
      </c>
      <c r="K115" s="27">
        <f>K114+K108+K107</f>
        <v>63907202.319999993</v>
      </c>
    </row>
    <row r="117" spans="1:11" x14ac:dyDescent="0.2">
      <c r="A117" s="1" t="s">
        <v>30</v>
      </c>
    </row>
    <row r="118" spans="1:11" x14ac:dyDescent="0.2">
      <c r="A118" t="s">
        <v>104</v>
      </c>
      <c r="B118" s="19">
        <f>B107</f>
        <v>54.662521325627743</v>
      </c>
      <c r="C118" s="22">
        <f>C34</f>
        <v>84195.767000000007</v>
      </c>
      <c r="D118" s="26">
        <f>C118*B118</f>
        <v>4602352.9091650853</v>
      </c>
      <c r="F118" s="19">
        <f>F107</f>
        <v>68.03</v>
      </c>
      <c r="G118" s="22">
        <v>82597</v>
      </c>
      <c r="H118" s="26">
        <f>G118*F118</f>
        <v>5619073.9100000001</v>
      </c>
      <c r="I118" s="19">
        <f>I107</f>
        <v>45.53</v>
      </c>
      <c r="J118" s="22">
        <v>110822</v>
      </c>
      <c r="K118" s="26">
        <f>J118*I118</f>
        <v>5045725.66</v>
      </c>
    </row>
    <row r="119" spans="1:11" x14ac:dyDescent="0.2">
      <c r="A119" t="s">
        <v>103</v>
      </c>
      <c r="B119" s="19">
        <f>B50</f>
        <v>14.19</v>
      </c>
      <c r="D119" s="26">
        <f>C118*B119</f>
        <v>1194737.9337300002</v>
      </c>
      <c r="F119" s="19">
        <v>12.47</v>
      </c>
      <c r="H119" s="26">
        <f>G118*F119</f>
        <v>1029984.5900000001</v>
      </c>
      <c r="I119" s="19">
        <v>9.48</v>
      </c>
      <c r="K119" s="26">
        <f>J118*I119</f>
        <v>1050592.56</v>
      </c>
    </row>
    <row r="120" spans="1:11" x14ac:dyDescent="0.2">
      <c r="A120" t="s">
        <v>105</v>
      </c>
      <c r="D120" s="26"/>
      <c r="H120" s="26"/>
      <c r="K120" s="26"/>
    </row>
    <row r="121" spans="1:11" x14ac:dyDescent="0.2">
      <c r="A121" t="s">
        <v>106</v>
      </c>
      <c r="C121" s="22">
        <f>C91</f>
        <v>243168.90600000002</v>
      </c>
      <c r="D121" s="28">
        <f>D86</f>
        <v>30432853</v>
      </c>
      <c r="G121" s="22">
        <v>236278</v>
      </c>
      <c r="H121" s="28">
        <f>H86</f>
        <v>0</v>
      </c>
      <c r="J121" s="22">
        <v>241530</v>
      </c>
      <c r="K121" s="28">
        <f>K86</f>
        <v>0</v>
      </c>
    </row>
    <row r="122" spans="1:11" x14ac:dyDescent="0.2">
      <c r="A122" t="s">
        <v>110</v>
      </c>
      <c r="D122" s="28">
        <f>D87</f>
        <v>494971</v>
      </c>
      <c r="H122" s="28">
        <f>H87</f>
        <v>0</v>
      </c>
      <c r="K122" s="28">
        <f>K87</f>
        <v>0</v>
      </c>
    </row>
    <row r="123" spans="1:11" x14ac:dyDescent="0.2">
      <c r="A123" t="s">
        <v>107</v>
      </c>
      <c r="D123" s="28">
        <f>D121+D122</f>
        <v>30927824</v>
      </c>
      <c r="H123" s="28">
        <f>H121+H122</f>
        <v>0</v>
      </c>
      <c r="K123" s="28">
        <f>K121+K122</f>
        <v>0</v>
      </c>
    </row>
    <row r="124" spans="1:11" x14ac:dyDescent="0.2">
      <c r="A124" t="s">
        <v>108</v>
      </c>
      <c r="D124" s="28">
        <f>D88</f>
        <v>-3649146</v>
      </c>
      <c r="H124" s="28">
        <f>H88</f>
        <v>0</v>
      </c>
      <c r="K124" s="28">
        <f>K88</f>
        <v>0</v>
      </c>
    </row>
    <row r="125" spans="1:11" x14ac:dyDescent="0.2">
      <c r="A125" t="s">
        <v>109</v>
      </c>
      <c r="D125" s="28">
        <f>D89</f>
        <v>-291477</v>
      </c>
      <c r="H125" s="28">
        <f>H89</f>
        <v>0</v>
      </c>
      <c r="K125" s="28">
        <f>K89</f>
        <v>0</v>
      </c>
    </row>
    <row r="126" spans="1:11" x14ac:dyDescent="0.2">
      <c r="A126" t="s">
        <v>112</v>
      </c>
      <c r="D126" s="28">
        <f>D90</f>
        <v>-1620342.5459999999</v>
      </c>
      <c r="H126" s="28">
        <f>H90</f>
        <v>0</v>
      </c>
      <c r="K126" s="28">
        <f>K90</f>
        <v>0</v>
      </c>
    </row>
    <row r="127" spans="1:11" x14ac:dyDescent="0.2">
      <c r="A127" t="s">
        <v>113</v>
      </c>
      <c r="D127" s="28">
        <f>SUM(D124:D126)</f>
        <v>-5560965.5460000001</v>
      </c>
      <c r="H127" s="28">
        <f>SUM(H124:H126)</f>
        <v>0</v>
      </c>
      <c r="K127" s="28">
        <f>SUM(K124:K126)</f>
        <v>0</v>
      </c>
    </row>
    <row r="128" spans="1:11" x14ac:dyDescent="0.2">
      <c r="A128" t="s">
        <v>114</v>
      </c>
      <c r="D128" s="28">
        <f>D123+D127</f>
        <v>25366858.454</v>
      </c>
      <c r="H128" s="28">
        <f>H123+H127</f>
        <v>0</v>
      </c>
      <c r="K128" s="28">
        <f>K123+K127</f>
        <v>0</v>
      </c>
    </row>
    <row r="129" spans="1:11" x14ac:dyDescent="0.2">
      <c r="A129" t="s">
        <v>115</v>
      </c>
      <c r="D129" s="28">
        <f>D96</f>
        <v>3940867</v>
      </c>
      <c r="H129" s="28">
        <f>H96</f>
        <v>0</v>
      </c>
      <c r="K129" s="28">
        <f>K96</f>
        <v>0</v>
      </c>
    </row>
    <row r="130" spans="1:11" x14ac:dyDescent="0.2">
      <c r="A130" t="s">
        <v>116</v>
      </c>
      <c r="D130" s="28">
        <f t="shared" ref="D130:D131" si="0">D97</f>
        <v>-5015317</v>
      </c>
      <c r="H130" s="28">
        <f t="shared" ref="H130:H131" si="1">H97</f>
        <v>0</v>
      </c>
      <c r="K130" s="28">
        <f t="shared" ref="K130:K131" si="2">K97</f>
        <v>0</v>
      </c>
    </row>
    <row r="131" spans="1:11" x14ac:dyDescent="0.2">
      <c r="A131" t="s">
        <v>117</v>
      </c>
      <c r="D131" s="28">
        <f t="shared" si="0"/>
        <v>-2902474</v>
      </c>
      <c r="H131" s="28">
        <f t="shared" si="1"/>
        <v>0</v>
      </c>
      <c r="K131" s="28">
        <f t="shared" si="2"/>
        <v>0</v>
      </c>
    </row>
    <row r="132" spans="1:11" x14ac:dyDescent="0.2">
      <c r="A132" t="s">
        <v>118</v>
      </c>
      <c r="D132" s="28">
        <f>D131+D130</f>
        <v>-7917791</v>
      </c>
      <c r="E132" s="49">
        <f>SUM(D129:D131)</f>
        <v>-3976924</v>
      </c>
      <c r="H132" s="28">
        <f>H131+H130</f>
        <v>0</v>
      </c>
      <c r="K132" s="28">
        <f>K131+K130</f>
        <v>0</v>
      </c>
    </row>
    <row r="133" spans="1:11" x14ac:dyDescent="0.2">
      <c r="A133" t="s">
        <v>119</v>
      </c>
      <c r="D133" s="28">
        <f>D92</f>
        <v>2689123</v>
      </c>
      <c r="F133" s="18">
        <f>H133/G133</f>
        <v>4.3220401391581103</v>
      </c>
      <c r="G133" s="22">
        <f>G134</f>
        <v>236278</v>
      </c>
      <c r="H133" s="28">
        <v>1021203</v>
      </c>
      <c r="I133" s="18">
        <f>K133/J133</f>
        <v>2.4125160435556658</v>
      </c>
      <c r="J133" s="22">
        <f>J134</f>
        <v>241530</v>
      </c>
      <c r="K133" s="28">
        <v>582695</v>
      </c>
    </row>
    <row r="134" spans="1:11" x14ac:dyDescent="0.2">
      <c r="A134" t="s">
        <v>120</v>
      </c>
      <c r="B134" s="18">
        <f>D134/C134</f>
        <v>99.021942608073417</v>
      </c>
      <c r="C134" s="22">
        <f>C121</f>
        <v>243168.90600000002</v>
      </c>
      <c r="D134" s="28">
        <f>D128+D129+D132+D133</f>
        <v>24079057.454</v>
      </c>
      <c r="F134" s="18">
        <f>H134/G134</f>
        <v>87.856990494248308</v>
      </c>
      <c r="G134" s="22">
        <f>G121</f>
        <v>236278</v>
      </c>
      <c r="H134" s="28">
        <v>20758674</v>
      </c>
      <c r="I134" s="18">
        <f>K134/J134</f>
        <v>67.569949902703598</v>
      </c>
      <c r="J134" s="22">
        <f>J121</f>
        <v>241530</v>
      </c>
      <c r="K134" s="28">
        <v>16320170</v>
      </c>
    </row>
    <row r="135" spans="1:11" x14ac:dyDescent="0.2">
      <c r="A135" s="1" t="s">
        <v>121</v>
      </c>
      <c r="B135" s="20">
        <f>D135/C134</f>
        <v>122.86171282480944</v>
      </c>
      <c r="C135" s="1"/>
      <c r="D135" s="29">
        <f>D134+D118+D119</f>
        <v>29876148.296895083</v>
      </c>
      <c r="F135" s="20">
        <f>H135/G134</f>
        <v>120.31985838715411</v>
      </c>
      <c r="G135" s="1"/>
      <c r="H135" s="29">
        <f>H134+H118+H119+H133</f>
        <v>28428935.5</v>
      </c>
      <c r="I135" s="20">
        <f>K135/J134</f>
        <v>95.222884196580125</v>
      </c>
      <c r="J135" s="1"/>
      <c r="K135" s="29">
        <f>K134+K118+K119+K133</f>
        <v>22999183.219999999</v>
      </c>
    </row>
    <row r="137" spans="1:11" x14ac:dyDescent="0.2">
      <c r="A137" s="1" t="s">
        <v>122</v>
      </c>
    </row>
    <row r="138" spans="1:11" x14ac:dyDescent="0.2">
      <c r="A138" t="s">
        <v>123</v>
      </c>
      <c r="B138" s="19">
        <f>B118</f>
        <v>54.662521325627743</v>
      </c>
      <c r="C138" s="22">
        <f>C52</f>
        <v>151539.26799999998</v>
      </c>
      <c r="D138" s="26">
        <f>B138*C138</f>
        <v>8283518.468720017</v>
      </c>
      <c r="F138" s="19">
        <f>F118</f>
        <v>68.03</v>
      </c>
      <c r="G138" s="22">
        <v>100584</v>
      </c>
      <c r="H138" s="26">
        <f>F138*G138</f>
        <v>6842729.5200000005</v>
      </c>
      <c r="I138" s="19">
        <f>I118</f>
        <v>45.53</v>
      </c>
      <c r="J138" s="22">
        <v>63974</v>
      </c>
      <c r="K138" s="26">
        <f>I138*J138</f>
        <v>2912736.22</v>
      </c>
    </row>
    <row r="139" spans="1:11" x14ac:dyDescent="0.2">
      <c r="A139" t="s">
        <v>124</v>
      </c>
      <c r="B139" s="19">
        <f>B103</f>
        <v>171.34</v>
      </c>
      <c r="C139" s="22">
        <f>C138</f>
        <v>151539.26799999998</v>
      </c>
      <c r="D139" s="26">
        <f>C138*B139</f>
        <v>25964738.179119997</v>
      </c>
      <c r="F139" s="19">
        <v>170.45</v>
      </c>
      <c r="G139" s="22">
        <f>G138</f>
        <v>100584</v>
      </c>
      <c r="H139" s="26">
        <f>G138*F139</f>
        <v>17144542.799999997</v>
      </c>
      <c r="I139" s="19">
        <v>140.11000000000001</v>
      </c>
      <c r="J139" s="22">
        <f>J138</f>
        <v>63974</v>
      </c>
      <c r="K139" s="26">
        <f>J138*I139</f>
        <v>8963397.1400000006</v>
      </c>
    </row>
    <row r="140" spans="1:11" x14ac:dyDescent="0.2">
      <c r="A140" t="s">
        <v>125</v>
      </c>
      <c r="B140" s="19">
        <f>B52</f>
        <v>4.55</v>
      </c>
      <c r="C140" s="22">
        <f>C139</f>
        <v>151539.26799999998</v>
      </c>
      <c r="D140" s="26">
        <f>C139*B140</f>
        <v>689503.6693999999</v>
      </c>
      <c r="F140" s="19">
        <v>4.3600000000000003</v>
      </c>
      <c r="G140" s="22">
        <f>G139</f>
        <v>100584</v>
      </c>
      <c r="H140" s="26">
        <f>G139*F140</f>
        <v>438546.24000000005</v>
      </c>
      <c r="I140" s="19">
        <v>2.81</v>
      </c>
      <c r="J140" s="22">
        <f>J139</f>
        <v>63974</v>
      </c>
      <c r="K140" s="26">
        <f>J139*I140</f>
        <v>179766.94</v>
      </c>
    </row>
    <row r="141" spans="1:11" x14ac:dyDescent="0.2">
      <c r="A141" t="s">
        <v>128</v>
      </c>
      <c r="B141" s="19"/>
      <c r="C141" s="22"/>
      <c r="D141" s="26"/>
      <c r="F141" s="19">
        <v>6.48</v>
      </c>
      <c r="G141" s="22">
        <f>G140</f>
        <v>100584</v>
      </c>
      <c r="H141" s="26">
        <f>G140*F141</f>
        <v>651784.32000000007</v>
      </c>
      <c r="I141" s="19">
        <v>0.96</v>
      </c>
      <c r="J141" s="22">
        <f>J140</f>
        <v>63974</v>
      </c>
      <c r="K141" s="26">
        <f>J140*I141</f>
        <v>61415.040000000001</v>
      </c>
    </row>
    <row r="142" spans="1:11" x14ac:dyDescent="0.2">
      <c r="A142" s="1" t="s">
        <v>126</v>
      </c>
      <c r="B142" s="21">
        <f>SUM(B138:B140)</f>
        <v>230.55252132562777</v>
      </c>
      <c r="D142" s="29">
        <f>SUM(D138:D140)</f>
        <v>34937760.317240015</v>
      </c>
      <c r="F142" s="21">
        <f>SUM(F138:F141)</f>
        <v>249.32</v>
      </c>
      <c r="H142" s="29">
        <f>SUM(H138:H140)</f>
        <v>24425818.559999995</v>
      </c>
      <c r="I142" s="21">
        <f>SUM(I138:I141)</f>
        <v>189.41000000000003</v>
      </c>
      <c r="K142" s="29">
        <f>SUM(K138:K140)</f>
        <v>12055900.300000001</v>
      </c>
    </row>
    <row r="146" spans="1:2" x14ac:dyDescent="0.2">
      <c r="A146" s="99" t="s">
        <v>146</v>
      </c>
    </row>
    <row r="147" spans="1:2" x14ac:dyDescent="0.2">
      <c r="A147" s="100">
        <v>400000000</v>
      </c>
      <c r="B147" s="97" t="s">
        <v>141</v>
      </c>
    </row>
    <row r="148" spans="1:2" x14ac:dyDescent="0.2">
      <c r="A148" s="97">
        <v>20</v>
      </c>
      <c r="B148" s="97" t="s">
        <v>142</v>
      </c>
    </row>
    <row r="149" spans="1:2" x14ac:dyDescent="0.2">
      <c r="A149" s="101">
        <f>A147/A148</f>
        <v>20000000</v>
      </c>
      <c r="B149" s="97" t="s">
        <v>143</v>
      </c>
    </row>
    <row r="150" spans="1:2" x14ac:dyDescent="0.2">
      <c r="A150" s="98">
        <f>A149/250000</f>
        <v>80</v>
      </c>
      <c r="B150" s="97" t="s">
        <v>144</v>
      </c>
    </row>
    <row r="151" spans="1:2" x14ac:dyDescent="0.2">
      <c r="A151" s="98"/>
      <c r="B151" s="97"/>
    </row>
    <row r="152" spans="1:2" x14ac:dyDescent="0.2">
      <c r="A152" s="97"/>
      <c r="B152" s="97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Corrected 2024 scenarios</vt:lpstr>
      <vt:lpstr>MV provided # in FOI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Maxwell</dc:creator>
  <cp:lastModifiedBy>Sue Maxwell</cp:lastModifiedBy>
  <dcterms:created xsi:type="dcterms:W3CDTF">2026-03-09T23:31:13Z</dcterms:created>
  <dcterms:modified xsi:type="dcterms:W3CDTF">2026-03-24T23:25:15Z</dcterms:modified>
</cp:coreProperties>
</file>